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7.xml" ContentType="application/vnd.openxmlformats-officedocument.spreadsheetml.tab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9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biancamsf_prefeitura_sp_gov_br/Documents/!DREST/Relatórios/Trimestrais/2025/02.Trimestre/"/>
    </mc:Choice>
  </mc:AlternateContent>
  <xr:revisionPtr revIDLastSave="0" documentId="8_{4D875036-FE44-47AD-9DBC-8B0BDABA4FEA}" xr6:coauthVersionLast="47" xr6:coauthVersionMax="47" xr10:uidLastSave="{00000000-0000-0000-0000-000000000000}"/>
  <bookViews>
    <workbookView xWindow="-120" yWindow="-120" windowWidth="20730" windowHeight="11160" tabRatio="868" xr2:uid="{00000000-000D-0000-FFFF-FFFF00000000}"/>
  </bookViews>
  <sheets>
    <sheet name="Protocolos" sheetId="10" r:id="rId1"/>
    <sheet name="Canais_atendimento" sheetId="9" r:id="rId2"/>
    <sheet name="10+_Assuntos_2025" sheetId="12" r:id="rId3"/>
    <sheet name="Assuntos" sheetId="11" r:id="rId4"/>
    <sheet name="10+_Unidades_2025" sheetId="14" r:id="rId5"/>
    <sheet name="Unidades" sheetId="13" r:id="rId6"/>
    <sheet name="10+_Subprefeituras_2025" sheetId="15" r:id="rId7"/>
    <sheet name="Subprefeituras" sheetId="16" r:id="rId8"/>
  </sheets>
  <definedNames>
    <definedName name="_xlnm._FilterDatabase" localSheetId="1" hidden="1">'Canais_atendimento'!$J$4:$K$12</definedName>
    <definedName name="_xlnm._FilterDatabase" localSheetId="0" hidden="1">Protocolos!$A$13:$A$19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5" l="1"/>
  <c r="I11" i="15"/>
  <c r="I15" i="15"/>
  <c r="D17" i="15"/>
  <c r="I1" i="12"/>
  <c r="H5" i="13"/>
  <c r="C37" i="16"/>
  <c r="I1" i="15" s="1"/>
  <c r="I8" i="15" s="1"/>
  <c r="B37" i="16"/>
  <c r="D17" i="14"/>
  <c r="C17" i="14"/>
  <c r="G17" i="14"/>
  <c r="C71" i="13"/>
  <c r="I1" i="14" s="1"/>
  <c r="I7" i="14" s="1"/>
  <c r="B71" i="13"/>
  <c r="C17" i="12"/>
  <c r="D17" i="12"/>
  <c r="G17" i="12"/>
  <c r="H17" i="12"/>
  <c r="C252" i="11"/>
  <c r="I7" i="12" s="1"/>
  <c r="B252" i="11"/>
  <c r="G245" i="11"/>
  <c r="G246" i="11"/>
  <c r="G247" i="11"/>
  <c r="G248" i="11"/>
  <c r="G249" i="11"/>
  <c r="G250" i="11"/>
  <c r="G251" i="11"/>
  <c r="F245" i="11"/>
  <c r="F246" i="11"/>
  <c r="F247" i="11"/>
  <c r="F248" i="11"/>
  <c r="F249" i="11"/>
  <c r="F250" i="11"/>
  <c r="F251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I14" i="15" l="1"/>
  <c r="I10" i="15"/>
  <c r="I17" i="15"/>
  <c r="I13" i="15"/>
  <c r="I9" i="15"/>
  <c r="I16" i="15"/>
  <c r="I12" i="15"/>
  <c r="I14" i="14"/>
  <c r="I10" i="14"/>
  <c r="I13" i="14"/>
  <c r="I9" i="14"/>
  <c r="I16" i="14"/>
  <c r="I12" i="14"/>
  <c r="I8" i="14"/>
  <c r="I15" i="14"/>
  <c r="I11" i="14"/>
  <c r="I17" i="14"/>
  <c r="I10" i="12"/>
  <c r="I17" i="12"/>
  <c r="I14" i="12"/>
  <c r="I13" i="12"/>
  <c r="I9" i="12"/>
  <c r="I16" i="12"/>
  <c r="I12" i="12"/>
  <c r="I8" i="12"/>
  <c r="I15" i="12"/>
  <c r="I11" i="12"/>
  <c r="G13" i="9" l="1"/>
  <c r="E13" i="9"/>
  <c r="D13" i="9"/>
  <c r="I5" i="9"/>
  <c r="I6" i="9"/>
  <c r="I7" i="9"/>
  <c r="I8" i="9"/>
  <c r="I9" i="9"/>
  <c r="I10" i="9"/>
  <c r="I11" i="9"/>
  <c r="I12" i="9"/>
  <c r="C13" i="9"/>
  <c r="B13" i="9"/>
  <c r="G5" i="10"/>
  <c r="G6" i="10"/>
  <c r="G7" i="10"/>
  <c r="G8" i="10"/>
  <c r="G9" i="10"/>
  <c r="G10" i="10"/>
  <c r="F5" i="10"/>
  <c r="F6" i="10"/>
  <c r="F7" i="10"/>
  <c r="F8" i="10"/>
  <c r="F9" i="10"/>
  <c r="F10" i="10"/>
  <c r="C11" i="10"/>
  <c r="C17" i="15"/>
  <c r="I13" i="9" l="1"/>
  <c r="F13" i="9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G37" i="16" s="1"/>
  <c r="F34" i="16"/>
  <c r="G34" i="16"/>
  <c r="F35" i="16"/>
  <c r="G35" i="16"/>
  <c r="F36" i="16"/>
  <c r="G36" i="16"/>
  <c r="F37" i="16" l="1"/>
  <c r="H34" i="16" s="1"/>
  <c r="H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8" i="16" l="1"/>
  <c r="H16" i="16"/>
  <c r="H24" i="16"/>
  <c r="H32" i="16"/>
  <c r="H36" i="16"/>
  <c r="H11" i="16"/>
  <c r="H19" i="16"/>
  <c r="H29" i="16"/>
  <c r="H18" i="16"/>
  <c r="H26" i="16"/>
  <c r="H27" i="16"/>
  <c r="H5" i="16"/>
  <c r="H13" i="16"/>
  <c r="H21" i="16"/>
  <c r="H31" i="16"/>
  <c r="H7" i="16"/>
  <c r="H15" i="16"/>
  <c r="H23" i="16"/>
  <c r="H35" i="16"/>
  <c r="H10" i="16"/>
  <c r="H12" i="16"/>
  <c r="H20" i="16"/>
  <c r="H28" i="16"/>
  <c r="H6" i="16"/>
  <c r="H14" i="16"/>
  <c r="H22" i="16"/>
  <c r="H30" i="16"/>
  <c r="H33" i="16"/>
  <c r="H37" i="16" s="1"/>
  <c r="H9" i="16"/>
  <c r="H17" i="16"/>
  <c r="H25" i="16"/>
  <c r="G17" i="15"/>
  <c r="G70" i="13"/>
  <c r="F70" i="13"/>
  <c r="G69" i="13"/>
  <c r="F69" i="13"/>
  <c r="G68" i="13"/>
  <c r="F68" i="13"/>
  <c r="G67" i="13"/>
  <c r="F67" i="13"/>
  <c r="G66" i="13"/>
  <c r="F66" i="13"/>
  <c r="G65" i="13"/>
  <c r="F65" i="13"/>
  <c r="G64" i="13"/>
  <c r="F64" i="13"/>
  <c r="G63" i="13"/>
  <c r="F63" i="13"/>
  <c r="G62" i="13"/>
  <c r="F62" i="13"/>
  <c r="G61" i="13"/>
  <c r="F61" i="13"/>
  <c r="G60" i="13"/>
  <c r="F60" i="13"/>
  <c r="G59" i="13"/>
  <c r="F59" i="13"/>
  <c r="G58" i="13"/>
  <c r="F58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6" i="13"/>
  <c r="F6" i="13"/>
  <c r="G5" i="13"/>
  <c r="G71" i="13" s="1"/>
  <c r="F5" i="13"/>
  <c r="H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G5" i="11"/>
  <c r="G252" i="11" s="1"/>
  <c r="F5" i="11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G8" i="9"/>
  <c r="F8" i="9"/>
  <c r="G10" i="9"/>
  <c r="F10" i="9"/>
  <c r="G5" i="9"/>
  <c r="F5" i="9"/>
  <c r="H5" i="9" s="1"/>
  <c r="G9" i="9"/>
  <c r="F9" i="9"/>
  <c r="G6" i="9"/>
  <c r="F6" i="9"/>
  <c r="G7" i="9"/>
  <c r="F7" i="9"/>
  <c r="G12" i="9"/>
  <c r="F12" i="9"/>
  <c r="G11" i="9"/>
  <c r="F11" i="9"/>
  <c r="B11" i="10"/>
  <c r="K9" i="10"/>
  <c r="L8" i="10"/>
  <c r="L7" i="10"/>
  <c r="L6" i="10"/>
  <c r="F71" i="13" l="1"/>
  <c r="H6" i="13" s="1"/>
  <c r="F252" i="11"/>
  <c r="H13" i="9"/>
  <c r="F11" i="10"/>
  <c r="G11" i="10"/>
  <c r="H6" i="9"/>
  <c r="H8" i="9"/>
  <c r="I18" i="12"/>
  <c r="H65" i="13" l="1"/>
  <c r="H49" i="13"/>
  <c r="H41" i="13"/>
  <c r="H33" i="13"/>
  <c r="H25" i="13"/>
  <c r="H17" i="13"/>
  <c r="H9" i="13"/>
  <c r="H8" i="13"/>
  <c r="H64" i="13"/>
  <c r="H56" i="13"/>
  <c r="H48" i="13"/>
  <c r="H40" i="13"/>
  <c r="H32" i="13"/>
  <c r="H24" i="13"/>
  <c r="H16" i="13"/>
  <c r="H63" i="13"/>
  <c r="H55" i="13"/>
  <c r="H47" i="13"/>
  <c r="H39" i="13"/>
  <c r="H31" i="13"/>
  <c r="H23" i="13"/>
  <c r="H15" i="13"/>
  <c r="H7" i="13"/>
  <c r="H70" i="13"/>
  <c r="H62" i="13"/>
  <c r="H54" i="13"/>
  <c r="H46" i="13"/>
  <c r="H38" i="13"/>
  <c r="H30" i="13"/>
  <c r="H22" i="13"/>
  <c r="H12" i="13"/>
  <c r="H69" i="13"/>
  <c r="H61" i="13"/>
  <c r="H53" i="13"/>
  <c r="H45" i="13"/>
  <c r="H37" i="13"/>
  <c r="H29" i="13"/>
  <c r="H21" i="13"/>
  <c r="H13" i="13"/>
  <c r="H68" i="13"/>
  <c r="H60" i="13"/>
  <c r="H52" i="13"/>
  <c r="H44" i="13"/>
  <c r="H36" i="13"/>
  <c r="H28" i="13"/>
  <c r="H20" i="13"/>
  <c r="H10" i="13"/>
  <c r="H57" i="13"/>
  <c r="H67" i="13"/>
  <c r="H59" i="13"/>
  <c r="H51" i="13"/>
  <c r="H43" i="13"/>
  <c r="H35" i="13"/>
  <c r="H27" i="13"/>
  <c r="H19" i="13"/>
  <c r="H11" i="13"/>
  <c r="H14" i="13"/>
  <c r="H66" i="13"/>
  <c r="H58" i="13"/>
  <c r="H50" i="13"/>
  <c r="H42" i="13"/>
  <c r="H34" i="13"/>
  <c r="H26" i="13"/>
  <c r="H18" i="13"/>
  <c r="H243" i="11"/>
  <c r="H227" i="11"/>
  <c r="H211" i="11"/>
  <c r="H195" i="11"/>
  <c r="H179" i="11"/>
  <c r="H163" i="11"/>
  <c r="H147" i="11"/>
  <c r="H131" i="11"/>
  <c r="H115" i="11"/>
  <c r="H99" i="11"/>
  <c r="H83" i="11"/>
  <c r="H67" i="11"/>
  <c r="H51" i="11"/>
  <c r="H35" i="11"/>
  <c r="H19" i="11"/>
  <c r="H248" i="11"/>
  <c r="H218" i="11"/>
  <c r="H202" i="11"/>
  <c r="H186" i="11"/>
  <c r="H170" i="11"/>
  <c r="H154" i="11"/>
  <c r="H138" i="11"/>
  <c r="H122" i="11"/>
  <c r="H106" i="11"/>
  <c r="H90" i="11"/>
  <c r="H74" i="11"/>
  <c r="H58" i="11"/>
  <c r="H42" i="11"/>
  <c r="H26" i="11"/>
  <c r="H10" i="11"/>
  <c r="H234" i="11"/>
  <c r="H229" i="11"/>
  <c r="H213" i="11"/>
  <c r="H197" i="11"/>
  <c r="H181" i="11"/>
  <c r="H165" i="11"/>
  <c r="H149" i="11"/>
  <c r="H133" i="11"/>
  <c r="H117" i="11"/>
  <c r="H101" i="11"/>
  <c r="H85" i="11"/>
  <c r="H69" i="11"/>
  <c r="H53" i="11"/>
  <c r="H37" i="11"/>
  <c r="H21" i="11"/>
  <c r="H250" i="11"/>
  <c r="H244" i="11"/>
  <c r="H228" i="11"/>
  <c r="H212" i="11"/>
  <c r="H196" i="11"/>
  <c r="H180" i="11"/>
  <c r="H164" i="11"/>
  <c r="H148" i="11"/>
  <c r="H132" i="11"/>
  <c r="H116" i="11"/>
  <c r="H100" i="11"/>
  <c r="H84" i="11"/>
  <c r="H68" i="11"/>
  <c r="H52" i="11"/>
  <c r="H36" i="11"/>
  <c r="H20" i="11"/>
  <c r="H249" i="11"/>
  <c r="H239" i="11"/>
  <c r="H223" i="11"/>
  <c r="H207" i="11"/>
  <c r="H191" i="11"/>
  <c r="H175" i="11"/>
  <c r="H159" i="11"/>
  <c r="H143" i="11"/>
  <c r="H127" i="11"/>
  <c r="H111" i="11"/>
  <c r="H95" i="11"/>
  <c r="H79" i="11"/>
  <c r="H63" i="11"/>
  <c r="H47" i="11"/>
  <c r="H31" i="11"/>
  <c r="H15" i="11"/>
  <c r="H242" i="11"/>
  <c r="H214" i="11"/>
  <c r="H198" i="11"/>
  <c r="H182" i="11"/>
  <c r="H166" i="11"/>
  <c r="H150" i="11"/>
  <c r="H134" i="11"/>
  <c r="H118" i="11"/>
  <c r="H102" i="11"/>
  <c r="H86" i="11"/>
  <c r="H70" i="11"/>
  <c r="H54" i="11"/>
  <c r="H38" i="11"/>
  <c r="H22" i="11"/>
  <c r="H6" i="11"/>
  <c r="H241" i="11"/>
  <c r="H225" i="11"/>
  <c r="H209" i="11"/>
  <c r="H193" i="11"/>
  <c r="H177" i="11"/>
  <c r="H161" i="11"/>
  <c r="H145" i="11"/>
  <c r="H129" i="11"/>
  <c r="H113" i="11"/>
  <c r="H97" i="11"/>
  <c r="H81" i="11"/>
  <c r="H65" i="11"/>
  <c r="H49" i="11"/>
  <c r="H33" i="11"/>
  <c r="H17" i="11"/>
  <c r="H246" i="11"/>
  <c r="H240" i="11"/>
  <c r="H224" i="11"/>
  <c r="H208" i="11"/>
  <c r="H192" i="11"/>
  <c r="H176" i="11"/>
  <c r="H160" i="11"/>
  <c r="H144" i="11"/>
  <c r="H128" i="11"/>
  <c r="H112" i="11"/>
  <c r="H96" i="11"/>
  <c r="H80" i="11"/>
  <c r="H64" i="11"/>
  <c r="H48" i="11"/>
  <c r="H32" i="11"/>
  <c r="H16" i="11"/>
  <c r="H245" i="11"/>
  <c r="H235" i="11"/>
  <c r="H219" i="11"/>
  <c r="H203" i="11"/>
  <c r="H187" i="11"/>
  <c r="H171" i="11"/>
  <c r="H155" i="11"/>
  <c r="H139" i="11"/>
  <c r="H123" i="11"/>
  <c r="H107" i="11"/>
  <c r="H91" i="11"/>
  <c r="H75" i="11"/>
  <c r="H59" i="11"/>
  <c r="H43" i="11"/>
  <c r="H27" i="11"/>
  <c r="H11" i="11"/>
  <c r="H230" i="11"/>
  <c r="H210" i="11"/>
  <c r="H194" i="11"/>
  <c r="H178" i="11"/>
  <c r="H162" i="11"/>
  <c r="H146" i="11"/>
  <c r="H130" i="11"/>
  <c r="H114" i="11"/>
  <c r="H98" i="11"/>
  <c r="H82" i="11"/>
  <c r="H66" i="11"/>
  <c r="H50" i="11"/>
  <c r="H34" i="11"/>
  <c r="H18" i="11"/>
  <c r="H251" i="11"/>
  <c r="H237" i="11"/>
  <c r="H221" i="11"/>
  <c r="H205" i="11"/>
  <c r="H189" i="11"/>
  <c r="H173" i="11"/>
  <c r="H157" i="11"/>
  <c r="H141" i="11"/>
  <c r="H125" i="11"/>
  <c r="H109" i="11"/>
  <c r="H93" i="11"/>
  <c r="H77" i="11"/>
  <c r="H61" i="11"/>
  <c r="H45" i="11"/>
  <c r="H29" i="11"/>
  <c r="H13" i="11"/>
  <c r="H238" i="11"/>
  <c r="H236" i="11"/>
  <c r="H220" i="11"/>
  <c r="H204" i="11"/>
  <c r="H188" i="11"/>
  <c r="H172" i="11"/>
  <c r="H156" i="11"/>
  <c r="H140" i="11"/>
  <c r="H124" i="11"/>
  <c r="H108" i="11"/>
  <c r="H92" i="11"/>
  <c r="H76" i="11"/>
  <c r="H60" i="11"/>
  <c r="H44" i="11"/>
  <c r="H28" i="11"/>
  <c r="H12" i="11"/>
  <c r="H231" i="11"/>
  <c r="H215" i="11"/>
  <c r="H199" i="11"/>
  <c r="H183" i="11"/>
  <c r="H167" i="11"/>
  <c r="H151" i="11"/>
  <c r="H135" i="11"/>
  <c r="H119" i="11"/>
  <c r="H103" i="11"/>
  <c r="H87" i="11"/>
  <c r="H71" i="11"/>
  <c r="H55" i="11"/>
  <c r="H39" i="11"/>
  <c r="H23" i="11"/>
  <c r="H7" i="11"/>
  <c r="H222" i="11"/>
  <c r="H206" i="11"/>
  <c r="H190" i="11"/>
  <c r="H174" i="11"/>
  <c r="H158" i="11"/>
  <c r="H142" i="11"/>
  <c r="H126" i="11"/>
  <c r="H110" i="11"/>
  <c r="H94" i="11"/>
  <c r="H78" i="11"/>
  <c r="H62" i="11"/>
  <c r="H46" i="11"/>
  <c r="H30" i="11"/>
  <c r="H14" i="11"/>
  <c r="H247" i="11"/>
  <c r="H233" i="11"/>
  <c r="H217" i="11"/>
  <c r="H201" i="11"/>
  <c r="H185" i="11"/>
  <c r="H169" i="11"/>
  <c r="H153" i="11"/>
  <c r="H137" i="11"/>
  <c r="H121" i="11"/>
  <c r="H105" i="11"/>
  <c r="H89" i="11"/>
  <c r="H73" i="11"/>
  <c r="H57" i="11"/>
  <c r="H41" i="11"/>
  <c r="H25" i="11"/>
  <c r="H9" i="11"/>
  <c r="H226" i="11"/>
  <c r="H232" i="11"/>
  <c r="H216" i="11"/>
  <c r="H200" i="11"/>
  <c r="H184" i="11"/>
  <c r="H168" i="11"/>
  <c r="H152" i="11"/>
  <c r="H136" i="11"/>
  <c r="H120" i="11"/>
  <c r="H104" i="11"/>
  <c r="H88" i="11"/>
  <c r="H72" i="11"/>
  <c r="H56" i="11"/>
  <c r="H40" i="11"/>
  <c r="H24" i="11"/>
  <c r="H8" i="11"/>
  <c r="H5" i="11"/>
  <c r="H11" i="9"/>
  <c r="H11" i="10"/>
  <c r="H8" i="10"/>
  <c r="H9" i="10"/>
  <c r="H5" i="10"/>
  <c r="H6" i="10"/>
  <c r="H7" i="10"/>
  <c r="H10" i="10"/>
  <c r="H12" i="9"/>
  <c r="H10" i="9"/>
  <c r="H7" i="9"/>
  <c r="H9" i="9"/>
  <c r="I18" i="15"/>
  <c r="H71" i="13" l="1"/>
  <c r="H252" i="11"/>
  <c r="I18" i="14"/>
</calcChain>
</file>

<file path=xl/sharedStrings.xml><?xml version="1.0" encoding="utf-8"?>
<sst xmlns="http://schemas.openxmlformats.org/spreadsheetml/2006/main" count="552" uniqueCount="414">
  <si>
    <t>Controladoria Geral do Município - Ouvidoria Geral</t>
  </si>
  <si>
    <t>SIGRC - Sistema Integrado de Gerenciamento e Relacionamento com o Cidadão</t>
  </si>
  <si>
    <t>4° trim 2024</t>
  </si>
  <si>
    <t>Tipos de Manifestação</t>
  </si>
  <si>
    <t>1º Trimestre de 2025</t>
  </si>
  <si>
    <t>2º Trimestre de 2025</t>
  </si>
  <si>
    <t>3º Trimestre de 2025</t>
  </si>
  <si>
    <t>4º Trimestre de 2025</t>
  </si>
  <si>
    <t>Total</t>
  </si>
  <si>
    <t>Média</t>
  </si>
  <si>
    <t>%Total</t>
  </si>
  <si>
    <t>Trimestres</t>
  </si>
  <si>
    <t>protocolos</t>
  </si>
  <si>
    <t>variação**</t>
  </si>
  <si>
    <t>Reclamação</t>
  </si>
  <si>
    <t>1º trim 2025</t>
  </si>
  <si>
    <t>Denúncia</t>
  </si>
  <si>
    <t>2º trim 2025</t>
  </si>
  <si>
    <t>Solicitação</t>
  </si>
  <si>
    <t>3º trim 2025</t>
  </si>
  <si>
    <t>Elogio</t>
  </si>
  <si>
    <t>4º trim 2025</t>
  </si>
  <si>
    <t>Sugestão</t>
  </si>
  <si>
    <t>Manifestações sobre o BRT Aricanduva*</t>
  </si>
  <si>
    <t>* A opção do serviço "Manifestações sobre o BRT Aricanduva", referente à obra de implantação do BRT Aricanduva e do novo Centro de Operações da SPTrans (COP), foi incluída o Portal SP156 em outubro de 2024.</t>
  </si>
  <si>
    <t>** Variação percentual em relação ao trimestre imediatamente anterior</t>
  </si>
  <si>
    <t>ATENDIMENTOS</t>
  </si>
  <si>
    <t>1° trim 2025</t>
  </si>
  <si>
    <t>2° trim 2025</t>
  </si>
  <si>
    <t>3° trim 2025</t>
  </si>
  <si>
    <t>4° trim 2025</t>
  </si>
  <si>
    <t>Variação % T1 vs T2 2025</t>
  </si>
  <si>
    <t>Variação % T2 vs T3 2025</t>
  </si>
  <si>
    <t>Variação % T3 vs T4 2025</t>
  </si>
  <si>
    <t>Variação % Acumulada 2025 (T4 vs T1)</t>
  </si>
  <si>
    <t>Portal</t>
  </si>
  <si>
    <t>E-mail</t>
  </si>
  <si>
    <t>Central SP156</t>
  </si>
  <si>
    <t>Zap Denúncia</t>
  </si>
  <si>
    <t>Encaminhamento de outros órgãos (Processo SEI, Memorando, Ofício, etc.)</t>
  </si>
  <si>
    <t>Presencial</t>
  </si>
  <si>
    <t>App SP156*</t>
  </si>
  <si>
    <t>Carta</t>
  </si>
  <si>
    <t>* Em 23/01/2025 foram incluídos no AppSP156 os formulários de denúncias e manifestações sobre o BRT Aricanduva. No entanto, a partir de 10/03/2025, devido a questões técnicas que impactavam o funcionamento de alguns formulários (como exibição de campos e regras de negócio), foram desativados esses serviços temporariamente. Atualmente, os únicos formulários ativos no App SP156 é o de “ Denunciar assédio sexual” e “Manifestações sobre o BRT Aricanduva”.</t>
  </si>
  <si>
    <t>Assuntos - 10 mais solicitados de 2025</t>
  </si>
  <si>
    <t>ASSUNTO (Guia Portal 156)*</t>
  </si>
  <si>
    <t>% em relação ao todo 2° trim 2025 (excetuando-se denúncias)</t>
  </si>
  <si>
    <t>Órgão externo</t>
  </si>
  <si>
    <t>Buraco e Pavimentação</t>
  </si>
  <si>
    <t>Qualidade de atendimento</t>
  </si>
  <si>
    <t>Ônibus</t>
  </si>
  <si>
    <t>Árvore</t>
  </si>
  <si>
    <t>Processo Administrativo</t>
  </si>
  <si>
    <t>Ponto viciado, entulho e caçamba de entulho</t>
  </si>
  <si>
    <t>Veículos abandonados</t>
  </si>
  <si>
    <t>Poluição sonora - PSIU</t>
  </si>
  <si>
    <t>Cadastro Único (CadÚnico)</t>
  </si>
  <si>
    <t>Total dos 10 Assuntos + Demandados</t>
  </si>
  <si>
    <t>Outros</t>
  </si>
  <si>
    <t>%total</t>
  </si>
  <si>
    <t>Assuntos</t>
  </si>
  <si>
    <t>Distribuição Percentual dos assuntos + demandados (%)</t>
  </si>
  <si>
    <r>
      <t xml:space="preserve">* Em decorrência da troca de sistema ocorrida em dezembro de 2016, a metodologia atualmente aplicada para a classificação dos assuntos segue a Guia de Serviços do Portal 156. As </t>
    </r>
    <r>
      <rPr>
        <b/>
        <sz val="10"/>
        <rFont val="Arial"/>
        <family val="2"/>
      </rPr>
      <t>denúncias</t>
    </r>
    <r>
      <rPr>
        <sz val="10"/>
        <rFont val="Arial"/>
        <family val="2"/>
      </rPr>
      <t xml:space="preserve"> não estão sendo contabilizadas nesta aba da planilha. O detalhamento dos dados pode ser consultado no site da Ouvidoria Geral do Município:</t>
    </r>
  </si>
  <si>
    <t>https://capital.sp.gov.br/web/ouvidoria/w/relatorios_mensais/144782</t>
  </si>
  <si>
    <t>% Total</t>
  </si>
  <si>
    <t>Acervo da Secretaria de Educação</t>
  </si>
  <si>
    <t>Acervos e Bibliotecas</t>
  </si>
  <si>
    <t>Acessibilidade digital</t>
  </si>
  <si>
    <t>Acessibilidade em edificações</t>
  </si>
  <si>
    <t>Acesso à informação</t>
  </si>
  <si>
    <t>Adoção de animais</t>
  </si>
  <si>
    <t>Agendamento eletrônico</t>
  </si>
  <si>
    <t>Água subterrânea/Curso d'água</t>
  </si>
  <si>
    <t>Álcool e outras drogas</t>
  </si>
  <si>
    <t>Alimentação escolar</t>
  </si>
  <si>
    <t>Alistamento e Serviço Militar</t>
  </si>
  <si>
    <t>Ambulantes</t>
  </si>
  <si>
    <t>Animais que transmitem doenças ou risco à saúde</t>
  </si>
  <si>
    <t>Animais silvestres</t>
  </si>
  <si>
    <t>Animal agressor e/ou invasor</t>
  </si>
  <si>
    <t>Animal em via pública</t>
  </si>
  <si>
    <t>Apoio à aprendizagem</t>
  </si>
  <si>
    <t>Aquático - SP</t>
  </si>
  <si>
    <t>Áreas contaminadas</t>
  </si>
  <si>
    <t>Áreas de pedestre (calçadões)</t>
  </si>
  <si>
    <t>Áreas municipais</t>
  </si>
  <si>
    <t>Armazém Solidário</t>
  </si>
  <si>
    <t>Assistência a saúde na urgência e emergência (portas)</t>
  </si>
  <si>
    <t>Assistência domiciliar</t>
  </si>
  <si>
    <t>Assistência farmacêutica</t>
  </si>
  <si>
    <t>Assistência Técnica e Extensão Rural</t>
  </si>
  <si>
    <t>ATENDE+ - Transporte para Pessoas com Deficiência</t>
  </si>
  <si>
    <t>Atendimento especializado para defesa de direitos</t>
  </si>
  <si>
    <t>Autorização para eventos e locais de reunião</t>
  </si>
  <si>
    <t>Autos de Infração</t>
  </si>
  <si>
    <t>Auxílio Aluguel</t>
  </si>
  <si>
    <t>Benefícios Eventuais</t>
  </si>
  <si>
    <t>Biblioteca Mário de Andrade</t>
  </si>
  <si>
    <t>Bibliotecas municipais</t>
  </si>
  <si>
    <t>Bicicleta</t>
  </si>
  <si>
    <t>Bilhete único</t>
  </si>
  <si>
    <t>Bolsas e Programas de Qualificação</t>
  </si>
  <si>
    <t>Cadastro de Prestadores de Outros Municípios</t>
  </si>
  <si>
    <t>Cadastro Municipal de Vigilância em Saúde - CMVS</t>
  </si>
  <si>
    <t>CADIN - Cadastro Informativo Municipal</t>
  </si>
  <si>
    <t>Calçadas, guias e postes</t>
  </si>
  <si>
    <t>Capinação e roçada de áreas verdes</t>
  </si>
  <si>
    <t>Carga e frete</t>
  </si>
  <si>
    <t>Carro Híbrido, Hidrogênio e Elétrico</t>
  </si>
  <si>
    <t>Cartão SUS e aplicativo Agenda Fácil</t>
  </si>
  <si>
    <t>Casas de Cultura</t>
  </si>
  <si>
    <t>Castração</t>
  </si>
  <si>
    <t>CCM - Cadastro de Contribuintes Mobiliários</t>
  </si>
  <si>
    <t>Cemitérios</t>
  </si>
  <si>
    <t>Central 156</t>
  </si>
  <si>
    <t>Centro Cultural São Paulo (CCSP)</t>
  </si>
  <si>
    <t>Centro de Apoio ao Trabalho e Empreendedorismo - CATe</t>
  </si>
  <si>
    <t>Centros Culturais e Teatros (CCULT)</t>
  </si>
  <si>
    <t>Centros de Referência, Convivência e Desenvolvimento</t>
  </si>
  <si>
    <t>Centros Educacionais Unificados (CEUs)</t>
  </si>
  <si>
    <t>Centros esportivos</t>
  </si>
  <si>
    <t>Certidão Ambiental</t>
  </si>
  <si>
    <t>Certidões</t>
  </si>
  <si>
    <t>Certidões de trânsito</t>
  </si>
  <si>
    <t>CIL- Central de Intermediação em Libras</t>
  </si>
  <si>
    <t>Cirurgias</t>
  </si>
  <si>
    <t>COHAB</t>
  </si>
  <si>
    <t>Coleta de lixo domiciliar</t>
  </si>
  <si>
    <t>Coleta de resíduos de serviços de saúde</t>
  </si>
  <si>
    <t>Coleta seletiva</t>
  </si>
  <si>
    <t>Comércio de animais</t>
  </si>
  <si>
    <t>Condições sanitárias inadequadas</t>
  </si>
  <si>
    <t>Conduta de funcionários</t>
  </si>
  <si>
    <t>Consulta de débitos e DUC</t>
  </si>
  <si>
    <t>Consulta em atenção básica</t>
  </si>
  <si>
    <t>Consultas médicas em atenção especializada ambulatorial</t>
  </si>
  <si>
    <t>Criação inadequada de animais</t>
  </si>
  <si>
    <t>Criança e adolescente</t>
  </si>
  <si>
    <t>Declarações fiscais</t>
  </si>
  <si>
    <t>Defesa civil</t>
  </si>
  <si>
    <t>Dengue/chikungunya/zika (mosquito aedes aegypti)</t>
  </si>
  <si>
    <t>Denúncia Fiscal</t>
  </si>
  <si>
    <t>Descomplica SP - 24h</t>
  </si>
  <si>
    <t>Descomplica SP - Butantã</t>
  </si>
  <si>
    <t>Descomplica SP - Campo Limpo</t>
  </si>
  <si>
    <t>Descomplica SP - Capela do Socorro</t>
  </si>
  <si>
    <t>Descomplica SP - Casa verde</t>
  </si>
  <si>
    <t>Descomplica SP - Correção de cadastro</t>
  </si>
  <si>
    <t>Descomplica SP - Ipiranga</t>
  </si>
  <si>
    <t>Descomplica SP - Itaim Paulista</t>
  </si>
  <si>
    <t>Descomplica SP - Itaquera</t>
  </si>
  <si>
    <t>Descomplica SP - Jabaquara</t>
  </si>
  <si>
    <t>Descomplica SP - Jaçanã/Tremembé</t>
  </si>
  <si>
    <t>Descomplica SP - Lapa</t>
  </si>
  <si>
    <t>Descomplica SP - M'Boi Mirim</t>
  </si>
  <si>
    <t>Descomplica SP - Mooca</t>
  </si>
  <si>
    <t>Descomplica SP - Parelheiros</t>
  </si>
  <si>
    <t>Descomplica SP - Penha</t>
  </si>
  <si>
    <t>Descomplica SP - Perus/Anhanguera</t>
  </si>
  <si>
    <t>Descomplica SP - Pirituba/Jaraguá</t>
  </si>
  <si>
    <t>Descomplica SP - Santana/Tucuruvi</t>
  </si>
  <si>
    <t>Descomplica SP - Santo Amaro</t>
  </si>
  <si>
    <t>Descomplica SP - São Mateus</t>
  </si>
  <si>
    <t>Descomplica SP - São Miguel</t>
  </si>
  <si>
    <t>Descomplica SP - Sapopemba</t>
  </si>
  <si>
    <t>Descomplica SP - Sé</t>
  </si>
  <si>
    <t>Descomplica SP - Vila Maria/Vila Guilherme</t>
  </si>
  <si>
    <t>Devoluções, restituições e indenizações</t>
  </si>
  <si>
    <t>Dívida Ativa</t>
  </si>
  <si>
    <t>Documentações de edificações</t>
  </si>
  <si>
    <t>Documentações de ruas e logradouros</t>
  </si>
  <si>
    <t>Documentações e alvarás para obras</t>
  </si>
  <si>
    <t>Drenagem de água de chuva</t>
  </si>
  <si>
    <t>Ecoponto</t>
  </si>
  <si>
    <t>Educação ambiental</t>
  </si>
  <si>
    <t>Empreenda fácil</t>
  </si>
  <si>
    <t>Empreendedorismo</t>
  </si>
  <si>
    <t>Esgoto e água usada</t>
  </si>
  <si>
    <t>Estabelecimentos comerciais, indústrias e serviços</t>
  </si>
  <si>
    <t>Estacionamento</t>
  </si>
  <si>
    <t>Eutanásia (morte sem dor)</t>
  </si>
  <si>
    <t>Eventos</t>
  </si>
  <si>
    <t>Exames e vacinas</t>
  </si>
  <si>
    <t>Exames em atenção especializada ambulatorial - rede hora certa / AMA-E / AE</t>
  </si>
  <si>
    <t>Exumação e translado/transferência de corpos</t>
  </si>
  <si>
    <t>Fab Lab</t>
  </si>
  <si>
    <t>Faixas exclusivas e corredores de ônibus</t>
  </si>
  <si>
    <t>Feira livre</t>
  </si>
  <si>
    <t>Fiscalização de obras</t>
  </si>
  <si>
    <t>Fomento à criação artística</t>
  </si>
  <si>
    <t>Formação artística e cultural</t>
  </si>
  <si>
    <t>Fretamento</t>
  </si>
  <si>
    <t>Grande gerador de resíduos (serviço, comércio, indústria)</t>
  </si>
  <si>
    <t>Gratuidades</t>
  </si>
  <si>
    <t>Guarda Civil Metropolitana</t>
  </si>
  <si>
    <t>Guias rebaixadas</t>
  </si>
  <si>
    <t>Heliponto / Heliporto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</si>
  <si>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</si>
  <si>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</si>
  <si>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</si>
  <si>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</si>
  <si>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</si>
  <si>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Indenizações e contestações de multas</t>
  </si>
  <si>
    <t>Inspeção Veicular</t>
  </si>
  <si>
    <t>Instalações físicas e equipamentos acessíveis</t>
  </si>
  <si>
    <t>Instituto de Previdência (IPREM)</t>
  </si>
  <si>
    <t>IPTU - Imposto Predial e Territorial Urbano</t>
  </si>
  <si>
    <t>ISS – Construção Civil</t>
  </si>
  <si>
    <t>ISS - Imposto Sobre Serviços</t>
  </si>
  <si>
    <t>ITBI - Imposto sobre a Transmissão de Bens Imóveis</t>
  </si>
  <si>
    <t>Lei Aldir Blanc - apoio emergencial a cultura</t>
  </si>
  <si>
    <t>Leve leite</t>
  </si>
  <si>
    <t>LGBTI</t>
  </si>
  <si>
    <t>Licenciamento Ambiental</t>
  </si>
  <si>
    <t>Licenciamento Industrial</t>
  </si>
  <si>
    <t>Lixeiras públicas</t>
  </si>
  <si>
    <t>Manutenção da sinalização de trânsito</t>
  </si>
  <si>
    <t>Material e uniforme escolar</t>
  </si>
  <si>
    <t>Matrícula</t>
  </si>
  <si>
    <t>Mediação de conflitos</t>
  </si>
  <si>
    <t>Medicamento de controle especial</t>
  </si>
  <si>
    <t>Medicinas tradicionais, homeopatia, práticas integrativas em saúde</t>
  </si>
  <si>
    <t>Mercados e Sacolões</t>
  </si>
  <si>
    <t>Microempreendedor Individual - MEI</t>
  </si>
  <si>
    <t>Moto frete</t>
  </si>
  <si>
    <t>Mulher</t>
  </si>
  <si>
    <t>Multa ambiental</t>
  </si>
  <si>
    <t>Multas de trânsito e guinchamentos</t>
  </si>
  <si>
    <t>Multas e contestações</t>
  </si>
  <si>
    <t>Não identificado**</t>
  </si>
  <si>
    <t>Nota do Milhão</t>
  </si>
  <si>
    <t>Notificação de imóvel ocioso</t>
  </si>
  <si>
    <t>Numeração de imóveis</t>
  </si>
  <si>
    <t>Ocupação irregular</t>
  </si>
  <si>
    <t>Ônibus e Ponto de ônibus</t>
  </si>
  <si>
    <t>Ônibus fretado</t>
  </si>
  <si>
    <t>Organizações da Sociedade Civil</t>
  </si>
  <si>
    <t>Ouvidoria SUS</t>
  </si>
  <si>
    <t>Parcelamento de tributos</t>
  </si>
  <si>
    <t>Parques</t>
  </si>
  <si>
    <t>Patrimônio histórico e cultural</t>
  </si>
  <si>
    <t>Pedido de orientação ou informação</t>
  </si>
  <si>
    <t>Pessoa com Deficiência</t>
  </si>
  <si>
    <t>Pessoa desaparecida</t>
  </si>
  <si>
    <t>Pessoa idosa</t>
  </si>
  <si>
    <t>Planetário</t>
  </si>
  <si>
    <t>Poluição do ar</t>
  </si>
  <si>
    <t>População ou pessoa em situação de rua</t>
  </si>
  <si>
    <t>Portal SP156</t>
  </si>
  <si>
    <t>Praças</t>
  </si>
  <si>
    <t>Precatórios</t>
  </si>
  <si>
    <t>PROCON Cidade de São Paulo</t>
  </si>
  <si>
    <t>Programa Bolsa Família</t>
  </si>
  <si>
    <t>Programa Cidade Solidária</t>
  </si>
  <si>
    <t>Programa Renda Mínima</t>
  </si>
  <si>
    <t>Publicidade e poluição visual</t>
  </si>
  <si>
    <t>Qualificação profissional</t>
  </si>
  <si>
    <t>Questões raciais, étnicas e religiosas</t>
  </si>
  <si>
    <t>Regimes Especiais de Tributação</t>
  </si>
  <si>
    <t>Registro de animais - RGA</t>
  </si>
  <si>
    <t>Remoção de grandes objetos</t>
  </si>
  <si>
    <t>Renda Básica Emergencial</t>
  </si>
  <si>
    <t>Requalifica Centro</t>
  </si>
  <si>
    <t>Rios e córregos</t>
  </si>
  <si>
    <t>Rua de Lazer</t>
  </si>
  <si>
    <t>Ruas, vilas, vielas e escadarias</t>
  </si>
  <si>
    <t>Saúde bucal</t>
  </si>
  <si>
    <t>Saúde da criança</t>
  </si>
  <si>
    <t>Saúde da pessoa com deficiência</t>
  </si>
  <si>
    <t>Saúde da pessoa com doenças sexualmente transmissíveis (DST),  HIV e AIDS</t>
  </si>
  <si>
    <t>Saúde da pessoa idosa</t>
  </si>
  <si>
    <t>Saúde da população LGBT</t>
  </si>
  <si>
    <t>Saúde mental</t>
  </si>
  <si>
    <t>SAV - Solução de Atendimento Eletrônico</t>
  </si>
  <si>
    <t>Segurança de edificação</t>
  </si>
  <si>
    <t>Senha Web</t>
  </si>
  <si>
    <t>Serviços de apoio terapêutico</t>
  </si>
  <si>
    <t>Servidores da SME</t>
  </si>
  <si>
    <t>Sinalização e Circulação de veículos e Pedestres</t>
  </si>
  <si>
    <t>Situações Excepcionais</t>
  </si>
  <si>
    <t>Smart Sampa</t>
  </si>
  <si>
    <t>Solicitação de callback durante atendimento receptivo</t>
  </si>
  <si>
    <t>Solicitar que acesso ao processo da OGM seja público</t>
  </si>
  <si>
    <t>Solução de Atendimento Eletrônico (SAV)</t>
  </si>
  <si>
    <t>Tabagismo</t>
  </si>
  <si>
    <t>Taxas mobiliárias</t>
  </si>
  <si>
    <t>Táxi</t>
  </si>
  <si>
    <t>Telecentros</t>
  </si>
  <si>
    <t>Terrenos e imóveis</t>
  </si>
  <si>
    <t>Transporte Escolar</t>
  </si>
  <si>
    <t>Transtorno do espectro do autismo (TEA)</t>
  </si>
  <si>
    <t>Turismo</t>
  </si>
  <si>
    <t>Unidade habitacional</t>
  </si>
  <si>
    <t>Unidades escolares</t>
  </si>
  <si>
    <t>Urgências e Emergências</t>
  </si>
  <si>
    <t>Vacinação</t>
  </si>
  <si>
    <t>Varrição e limpeza urbana</t>
  </si>
  <si>
    <t>Vigilância Sanitária</t>
  </si>
  <si>
    <t>Vista de Processos - Secretaria Municipal da Fazenda</t>
  </si>
  <si>
    <t>WiFi Livre SP</t>
  </si>
  <si>
    <t>Zona Azul</t>
  </si>
  <si>
    <t>**Os protocolos classificadas como assunto "não identificado", são reclamações recebidas no sistema sem que se tenha o registro do assunto demandado.</t>
  </si>
  <si>
    <t>Unidades - 10 mais solicitadas de 2025</t>
  </si>
  <si>
    <t>Unidades PMSP*</t>
  </si>
  <si>
    <t>% em relação ao todo 2 ° trim 2025 (excetuando-se denúncias)</t>
  </si>
  <si>
    <t>Secretaria Municipal da Saúde</t>
  </si>
  <si>
    <t>Secretaria Municipal das Subprefeituras</t>
  </si>
  <si>
    <t>Secretaria Executiva de Limpeza Urbana</t>
  </si>
  <si>
    <t>Secretaria Municipal de Educação</t>
  </si>
  <si>
    <t>São Paulo Transportes</t>
  </si>
  <si>
    <t>Companhia de Engenharia de Tráfego</t>
  </si>
  <si>
    <t>Secretaria Municipal da Fazenda</t>
  </si>
  <si>
    <t>Secretaria Municipal de Assistência e Desenvolvimento Social</t>
  </si>
  <si>
    <t>Agência Reguladora de Serviços Públicos do Município</t>
  </si>
  <si>
    <t>Total das 10 Unidades + Demandadas</t>
  </si>
  <si>
    <t>Unidades</t>
  </si>
  <si>
    <t>Distribuição Percentual das unidades + demandadas (%)</t>
  </si>
  <si>
    <r>
      <t xml:space="preserve">* As </t>
    </r>
    <r>
      <rPr>
        <b/>
        <sz val="11"/>
        <rFont val="Arial"/>
        <family val="2"/>
      </rPr>
      <t>denúncias</t>
    </r>
    <r>
      <rPr>
        <sz val="11"/>
        <rFont val="Arial"/>
        <family val="2"/>
      </rPr>
      <t xml:space="preserve"> não estão sendo contabilizadas nesta aba da planilha. O detalhamento dos dados pode ser consultado no site da Ouvidoria Geral do Município:</t>
    </r>
  </si>
  <si>
    <t>Casa Civil</t>
  </si>
  <si>
    <t>Companhia Metropolitana de Habitação</t>
  </si>
  <si>
    <t>Controladoria Geral do Município</t>
  </si>
  <si>
    <t>Procuradoria Geral do Município</t>
  </si>
  <si>
    <t>São Paulo Obras</t>
  </si>
  <si>
    <t>Secretaria de Relações Institucionais</t>
  </si>
  <si>
    <t>Secretaria de Relações Internacionais</t>
  </si>
  <si>
    <t>Secretaria do Governo Municipal</t>
  </si>
  <si>
    <t>Secretaria Municipal da Pessoa com Deficiência</t>
  </si>
  <si>
    <t>Secretaria Municipal de Cultura e Economia Criativa</t>
  </si>
  <si>
    <t>Secretaria Municipal de Desenvolvimento Econômico e Trabalho</t>
  </si>
  <si>
    <t>Secretaria Municipal de Direitos Humanos e Cidadania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</si>
  <si>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</si>
  <si>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</si>
  <si>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</si>
  <si>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</si>
  <si>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</si>
  <si>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</si>
  <si>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Urbana e Transporte</t>
  </si>
  <si>
    <t>Secretaria Municipal de Segurança Urbana</t>
  </si>
  <si>
    <t>Secretaria Municipal de Turismo</t>
  </si>
  <si>
    <t>Secretaria Municipal de Urbanismo e Licenciamento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</si>
  <si>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</si>
  <si>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</si>
  <si>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</si>
  <si>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</si>
  <si>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</si>
  <si>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</si>
  <si>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</si>
  <si>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</si>
  <si>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</si>
  <si>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</si>
  <si>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</si>
  <si>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</si>
  <si>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</si>
  <si>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</si>
  <si>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</si>
  <si>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</si>
  <si>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</si>
  <si>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 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</si>
  <si>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</si>
  <si>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</si>
  <si>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</si>
  <si>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</si>
  <si>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</si>
  <si>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</si>
  <si>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</si>
  <si>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</si>
  <si>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</si>
  <si>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</si>
  <si>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</si>
  <si>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</si>
  <si>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</si>
  <si>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</si>
  <si>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</si>
  <si>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** Considera-se o campo “não identificado” todos os registros que não especificam o órgão denunciado, que não complementam essa informação, ou ainda que a narrativa não permita rastrear o órgão denunciado.</t>
  </si>
  <si>
    <t>Subprefeituras - 10 mais solicitadas de 2025</t>
  </si>
  <si>
    <t>Subprefeituras PMSP*</t>
  </si>
  <si>
    <t>% em relação ao total de Subs 2° trim 2025 (excetuando-se denúncias)</t>
  </si>
  <si>
    <t>Sé</t>
  </si>
  <si>
    <t>Butantã</t>
  </si>
  <si>
    <t>Ipiranga</t>
  </si>
  <si>
    <t>Pirituba/Jaraguá</t>
  </si>
  <si>
    <t>Lapa</t>
  </si>
  <si>
    <t>Penha</t>
  </si>
  <si>
    <t>Mooca</t>
  </si>
  <si>
    <t>Pinheiros</t>
  </si>
  <si>
    <t>Itaquera</t>
  </si>
  <si>
    <t>Santana/Tucuruvi</t>
  </si>
  <si>
    <t>Total das 10 Subprefeituras + Demandadas</t>
  </si>
  <si>
    <t>Outras</t>
  </si>
  <si>
    <t>Subprefeituras</t>
  </si>
  <si>
    <t>Distribuição Percentual das Subprefeituras + demandadas (%)</t>
  </si>
  <si>
    <t>% Total dentre as subprefeituras</t>
  </si>
  <si>
    <t>Aricanduva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</si>
  <si>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</si>
  <si>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</si>
  <si>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</si>
  <si>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</si>
  <si>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</si>
  <si>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</si>
  <si>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</si>
  <si>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</si>
  <si>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Itaim Paulista</t>
  </si>
  <si>
    <t>Jabaquara</t>
  </si>
  <si>
    <t>Jaçanã/Tremembé</t>
  </si>
  <si>
    <t>M Boi Mirim</t>
  </si>
  <si>
    <t>Parelheiros</t>
  </si>
  <si>
    <t>Perus</t>
  </si>
  <si>
    <t>Santo Amaro</t>
  </si>
  <si>
    <t>São Mateus</t>
  </si>
  <si>
    <t>São Miguel Paulista</t>
  </si>
  <si>
    <t>Sapopemba</t>
  </si>
  <si>
    <t>Vila Maria/Vila Guilherme</t>
  </si>
  <si>
    <t>Vila Mariana</t>
  </si>
  <si>
    <t>Vila Prudente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</si>
</sst>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0.0"/>
    <numFmt numFmtId="166" formatCode="&quot; &quot;#,##0.00&quot; &quot;;&quot;-&quot;#,##0.00&quot; &quot;;&quot; -&quot;00&quot; &quot;;&quot; &quot;@&quot; &quot;"/>
    <numFmt numFmtId="167" formatCode="0.0%"/>
  </numFmts>
  <fonts count="48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11"/>
      <name val="Arial "/>
    </font>
    <font>
      <b/>
      <sz val="11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2"/>
      <color theme="0"/>
      <name val="Arial"/>
      <family val="2"/>
    </font>
    <font>
      <u/>
      <sz val="11"/>
      <color theme="10"/>
      <name val="Arial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44546A"/>
      <name val="Calibri"/>
      <family val="2"/>
    </font>
    <font>
      <sz val="12"/>
      <name val="Arial "/>
    </font>
    <font>
      <b/>
      <sz val="12"/>
      <name val="Arial"/>
      <family val="2"/>
    </font>
    <font>
      <b/>
      <sz val="11"/>
      <name val="Arial "/>
    </font>
    <font>
      <sz val="11"/>
      <color theme="1"/>
      <name val="Arial 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</fills>
  <borders count="17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rgb="FF8EA9DB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10">
    <xf numFmtId="0" fontId="0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42" fillId="0" borderId="15" applyNumberFormat="0" applyFill="0" applyAlignment="0" applyProtection="0"/>
    <xf numFmtId="0" fontId="40" fillId="3" borderId="0" applyNumberFormat="0" applyBorder="0" applyAlignment="0" applyProtection="0"/>
    <xf numFmtId="0" fontId="41" fillId="4" borderId="0" applyNumberFormat="0" applyBorder="0" applyAlignment="0" applyProtection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9" fillId="0" borderId="0" applyNumberFormat="0" applyBorder="0" applyProtection="0"/>
    <xf numFmtId="0" fontId="6" fillId="0" borderId="0" applyNumberFormat="0" applyFont="0" applyBorder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225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1" fontId="16" fillId="0" borderId="0" xfId="0" applyNumberFormat="1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2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 wrapText="1"/>
    </xf>
    <xf numFmtId="0" fontId="2" fillId="0" borderId="0" xfId="93"/>
    <xf numFmtId="0" fontId="22" fillId="0" borderId="0" xfId="93" applyFont="1" applyAlignment="1">
      <alignment horizontal="left"/>
    </xf>
    <xf numFmtId="0" fontId="22" fillId="0" borderId="0" xfId="93" applyFont="1"/>
    <xf numFmtId="0" fontId="22" fillId="0" borderId="0" xfId="93" applyFont="1" applyAlignment="1">
      <alignment horizontal="left" wrapText="1"/>
    </xf>
    <xf numFmtId="0" fontId="16" fillId="0" borderId="0" xfId="93" applyFont="1" applyAlignment="1">
      <alignment horizontal="center" vertical="center" wrapText="1"/>
    </xf>
    <xf numFmtId="3" fontId="22" fillId="0" borderId="0" xfId="93" applyNumberFormat="1" applyFont="1" applyAlignment="1">
      <alignment horizontal="center"/>
    </xf>
    <xf numFmtId="0" fontId="11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2" fontId="22" fillId="0" borderId="0" xfId="93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4" fontId="27" fillId="0" borderId="0" xfId="93" applyNumberFormat="1" applyFont="1" applyAlignment="1">
      <alignment horizontal="center"/>
    </xf>
    <xf numFmtId="0" fontId="16" fillId="0" borderId="0" xfId="93" applyFont="1"/>
    <xf numFmtId="0" fontId="16" fillId="0" borderId="0" xfId="93" applyFont="1" applyAlignment="1">
      <alignment horizontal="left"/>
    </xf>
    <xf numFmtId="2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1" fontId="12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29" fillId="0" borderId="0" xfId="0" applyFont="1"/>
    <xf numFmtId="1" fontId="29" fillId="0" borderId="0" xfId="0" applyNumberFormat="1" applyFont="1"/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27" fillId="0" borderId="0" xfId="0" applyFont="1"/>
    <xf numFmtId="1" fontId="27" fillId="0" borderId="0" xfId="0" applyNumberFormat="1" applyFont="1"/>
    <xf numFmtId="0" fontId="27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2" fillId="0" borderId="0" xfId="0" applyFont="1"/>
    <xf numFmtId="1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1" fontId="22" fillId="0" borderId="0" xfId="0" applyNumberFormat="1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17" fontId="22" fillId="0" borderId="0" xfId="0" applyNumberFormat="1" applyFont="1"/>
    <xf numFmtId="0" fontId="16" fillId="0" borderId="0" xfId="0" applyFont="1" applyAlignment="1">
      <alignment horizontal="center" vertical="center"/>
    </xf>
    <xf numFmtId="1" fontId="16" fillId="0" borderId="0" xfId="0" applyNumberFormat="1" applyFont="1"/>
    <xf numFmtId="0" fontId="11" fillId="0" borderId="0" xfId="97" applyFont="1"/>
    <xf numFmtId="0" fontId="11" fillId="0" borderId="0" xfId="97" applyFont="1" applyAlignment="1">
      <alignment horizontal="center" vertical="center"/>
    </xf>
    <xf numFmtId="1" fontId="24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32" fillId="0" borderId="0" xfId="0" applyFont="1"/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2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1" fillId="0" borderId="0" xfId="97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17" fontId="16" fillId="0" borderId="0" xfId="0" applyNumberFormat="1" applyFont="1"/>
    <xf numFmtId="0" fontId="36" fillId="0" borderId="0" xfId="0" applyFont="1"/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2" fontId="16" fillId="0" borderId="0" xfId="0" applyNumberFormat="1" applyFont="1" applyAlignment="1">
      <alignment horizontal="center" vertical="center"/>
    </xf>
    <xf numFmtId="0" fontId="23" fillId="2" borderId="0" xfId="93" applyFont="1" applyFill="1"/>
    <xf numFmtId="3" fontId="23" fillId="2" borderId="0" xfId="93" applyNumberFormat="1" applyFont="1" applyFill="1" applyAlignment="1">
      <alignment horizontal="center"/>
    </xf>
    <xf numFmtId="2" fontId="23" fillId="2" borderId="0" xfId="93" applyNumberFormat="1" applyFont="1" applyFill="1" applyAlignment="1">
      <alignment horizontal="center"/>
    </xf>
    <xf numFmtId="2" fontId="11" fillId="2" borderId="0" xfId="0" applyNumberFormat="1" applyFont="1" applyFill="1" applyAlignment="1">
      <alignment horizontal="center" vertical="center"/>
    </xf>
    <xf numFmtId="17" fontId="11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2" fontId="16" fillId="0" borderId="0" xfId="0" applyNumberFormat="1" applyFont="1" applyAlignment="1">
      <alignment horizontal="left" vertical="center"/>
    </xf>
    <xf numFmtId="2" fontId="38" fillId="0" borderId="0" xfId="0" applyNumberFormat="1" applyFont="1" applyAlignment="1">
      <alignment horizontal="left" vertical="top" wrapText="1"/>
    </xf>
    <xf numFmtId="2" fontId="35" fillId="0" borderId="0" xfId="0" applyNumberFormat="1" applyFont="1" applyAlignment="1">
      <alignment horizontal="left" vertical="center" wrapText="1"/>
    </xf>
    <xf numFmtId="2" fontId="35" fillId="0" borderId="0" xfId="0" applyNumberFormat="1" applyFont="1" applyAlignment="1">
      <alignment horizontal="left" vertical="center"/>
    </xf>
    <xf numFmtId="2" fontId="35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1" fontId="11" fillId="2" borderId="0" xfId="0" applyNumberFormat="1" applyFont="1" applyFill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vertical="top" wrapText="1"/>
    </xf>
    <xf numFmtId="0" fontId="26" fillId="0" borderId="4" xfId="95" applyBorder="1" applyAlignment="1">
      <alignment horizontal="left" vertical="top"/>
    </xf>
    <xf numFmtId="0" fontId="27" fillId="0" borderId="5" xfId="0" applyFont="1" applyBorder="1"/>
    <xf numFmtId="1" fontId="11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vertical="top" wrapText="1"/>
    </xf>
    <xf numFmtId="0" fontId="11" fillId="2" borderId="0" xfId="0" applyFont="1" applyFill="1" applyAlignment="1">
      <alignment horizontal="left" vertical="top"/>
    </xf>
    <xf numFmtId="0" fontId="27" fillId="0" borderId="6" xfId="0" applyFont="1" applyBorder="1" applyAlignment="1">
      <alignment horizontal="left" vertical="center" wrapText="1"/>
    </xf>
    <xf numFmtId="0" fontId="37" fillId="0" borderId="7" xfId="95" applyFont="1" applyBorder="1" applyAlignment="1">
      <alignment horizontal="left" vertical="top"/>
    </xf>
    <xf numFmtId="0" fontId="22" fillId="0" borderId="1" xfId="0" applyFont="1" applyBorder="1" applyAlignment="1">
      <alignment vertical="top" wrapText="1"/>
    </xf>
    <xf numFmtId="0" fontId="11" fillId="0" borderId="12" xfId="0" applyFont="1" applyBorder="1"/>
    <xf numFmtId="0" fontId="2" fillId="0" borderId="13" xfId="93" applyBorder="1"/>
    <xf numFmtId="0" fontId="2" fillId="0" borderId="14" xfId="93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1" fillId="0" borderId="0" xfId="97" applyFont="1" applyAlignment="1">
      <alignment horizontal="left"/>
    </xf>
    <xf numFmtId="0" fontId="14" fillId="0" borderId="0" xfId="0" applyFont="1"/>
    <xf numFmtId="1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165" fontId="11" fillId="0" borderId="0" xfId="0" applyNumberFormat="1" applyFont="1" applyAlignment="1">
      <alignment horizontal="center" wrapText="1"/>
    </xf>
    <xf numFmtId="0" fontId="39" fillId="0" borderId="7" xfId="95" applyFont="1" applyBorder="1" applyAlignment="1">
      <alignment horizontal="left" vertical="top" wrapText="1"/>
    </xf>
    <xf numFmtId="0" fontId="28" fillId="0" borderId="6" xfId="0" applyFont="1" applyBorder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20" fillId="0" borderId="0" xfId="0" applyFont="1"/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165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top"/>
    </xf>
    <xf numFmtId="165" fontId="11" fillId="0" borderId="0" xfId="0" applyNumberFormat="1" applyFont="1" applyAlignment="1">
      <alignment horizontal="center" vertical="center"/>
    </xf>
    <xf numFmtId="0" fontId="4" fillId="0" borderId="0" xfId="0" applyFont="1"/>
    <xf numFmtId="3" fontId="27" fillId="0" borderId="0" xfId="0" applyNumberFormat="1" applyFont="1" applyAlignment="1">
      <alignment horizontal="center"/>
    </xf>
    <xf numFmtId="3" fontId="23" fillId="2" borderId="0" xfId="93" applyNumberFormat="1" applyFont="1" applyFill="1" applyAlignment="1">
      <alignment horizontal="left"/>
    </xf>
    <xf numFmtId="0" fontId="12" fillId="0" borderId="0" xfId="0" applyFont="1" applyAlignment="1">
      <alignment wrapText="1"/>
    </xf>
    <xf numFmtId="3" fontId="16" fillId="0" borderId="0" xfId="0" applyNumberFormat="1" applyFont="1"/>
    <xf numFmtId="1" fontId="4" fillId="0" borderId="0" xfId="0" applyNumberFormat="1" applyFont="1"/>
    <xf numFmtId="0" fontId="25" fillId="0" borderId="0" xfId="0" applyFont="1" applyAlignment="1">
      <alignment horizontal="center" vertical="center"/>
    </xf>
    <xf numFmtId="0" fontId="18" fillId="0" borderId="0" xfId="0" applyFont="1"/>
    <xf numFmtId="17" fontId="21" fillId="0" borderId="0" xfId="0" applyNumberFormat="1" applyFont="1" applyAlignment="1">
      <alignment horizontal="center" vertical="center"/>
    </xf>
    <xf numFmtId="0" fontId="5" fillId="0" borderId="0" xfId="0" applyFont="1"/>
    <xf numFmtId="3" fontId="43" fillId="0" borderId="0" xfId="0" applyNumberFormat="1" applyFont="1" applyAlignment="1">
      <alignment horizontal="center" vertical="center"/>
    </xf>
    <xf numFmtId="3" fontId="4" fillId="0" borderId="0" xfId="0" applyNumberFormat="1" applyFont="1"/>
    <xf numFmtId="0" fontId="45" fillId="0" borderId="0" xfId="0" applyFont="1"/>
    <xf numFmtId="3" fontId="45" fillId="0" borderId="0" xfId="0" applyNumberFormat="1" applyFont="1"/>
    <xf numFmtId="0" fontId="18" fillId="0" borderId="0" xfId="0" applyFont="1" applyAlignment="1">
      <alignment horizontal="left" vertical="center"/>
    </xf>
    <xf numFmtId="17" fontId="18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3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17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0" fontId="46" fillId="0" borderId="0" xfId="0" applyFont="1"/>
    <xf numFmtId="1" fontId="20" fillId="0" borderId="0" xfId="0" applyNumberFormat="1" applyFont="1"/>
    <xf numFmtId="0" fontId="27" fillId="0" borderId="1" xfId="0" applyFont="1" applyBorder="1" applyAlignment="1">
      <alignment horizontal="left" wrapText="1"/>
    </xf>
    <xf numFmtId="17" fontId="18" fillId="2" borderId="0" xfId="0" applyNumberFormat="1" applyFont="1" applyFill="1" applyAlignment="1">
      <alignment horizontal="center" vertical="center"/>
    </xf>
    <xf numFmtId="0" fontId="18" fillId="0" borderId="16" xfId="0" applyFont="1" applyBorder="1" applyAlignment="1">
      <alignment horizontal="left"/>
    </xf>
    <xf numFmtId="1" fontId="27" fillId="0" borderId="16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3" fontId="27" fillId="0" borderId="16" xfId="0" applyNumberFormat="1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167" fontId="27" fillId="0" borderId="16" xfId="0" applyNumberFormat="1" applyFont="1" applyBorder="1" applyAlignment="1">
      <alignment horizontal="center" vertical="center"/>
    </xf>
    <xf numFmtId="0" fontId="18" fillId="0" borderId="16" xfId="0" applyFont="1" applyBorder="1"/>
    <xf numFmtId="0" fontId="44" fillId="2" borderId="16" xfId="0" applyFont="1" applyFill="1" applyBorder="1" applyAlignment="1">
      <alignment horizontal="left" vertical="center"/>
    </xf>
    <xf numFmtId="3" fontId="18" fillId="2" borderId="16" xfId="0" applyNumberFormat="1" applyFont="1" applyFill="1" applyBorder="1" applyAlignment="1">
      <alignment horizontal="center" vertical="center"/>
    </xf>
    <xf numFmtId="2" fontId="18" fillId="2" borderId="16" xfId="0" applyNumberFormat="1" applyFont="1" applyFill="1" applyBorder="1" applyAlignment="1">
      <alignment horizontal="center" vertical="center"/>
    </xf>
    <xf numFmtId="167" fontId="27" fillId="2" borderId="16" xfId="0" applyNumberFormat="1" applyFont="1" applyFill="1" applyBorder="1" applyAlignment="1">
      <alignment horizontal="center" vertical="center"/>
    </xf>
    <xf numFmtId="167" fontId="16" fillId="0" borderId="16" xfId="0" applyNumberFormat="1" applyFont="1" applyBorder="1" applyAlignment="1">
      <alignment horizontal="center" vertical="center"/>
    </xf>
    <xf numFmtId="167" fontId="16" fillId="2" borderId="16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0" fontId="27" fillId="0" borderId="16" xfId="0" applyFont="1" applyBorder="1"/>
    <xf numFmtId="0" fontId="27" fillId="0" borderId="16" xfId="0" applyFont="1" applyBorder="1" applyAlignment="1">
      <alignment horizontal="center"/>
    </xf>
    <xf numFmtId="0" fontId="18" fillId="0" borderId="16" xfId="96" applyFont="1" applyBorder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/>
    </xf>
    <xf numFmtId="2" fontId="18" fillId="0" borderId="16" xfId="96" applyNumberFormat="1" applyFont="1" applyBorder="1" applyAlignment="1">
      <alignment horizontal="center" vertical="center"/>
    </xf>
    <xf numFmtId="0" fontId="12" fillId="0" borderId="0" xfId="96" applyFont="1"/>
    <xf numFmtId="0" fontId="27" fillId="0" borderId="16" xfId="0" applyFont="1" applyBorder="1" applyAlignment="1">
      <alignment horizontal="left"/>
    </xf>
    <xf numFmtId="0" fontId="27" fillId="0" borderId="16" xfId="96" applyFont="1" applyBorder="1" applyAlignment="1">
      <alignment horizontal="center" vertical="center"/>
    </xf>
    <xf numFmtId="0" fontId="27" fillId="0" borderId="16" xfId="92" applyNumberFormat="1" applyFont="1" applyFill="1" applyBorder="1" applyAlignment="1">
      <alignment horizontal="left"/>
    </xf>
    <xf numFmtId="0" fontId="27" fillId="0" borderId="16" xfId="92" applyNumberFormat="1" applyFont="1" applyFill="1" applyBorder="1" applyAlignment="1">
      <alignment horizontal="center" vertical="center"/>
    </xf>
    <xf numFmtId="0" fontId="27" fillId="0" borderId="16" xfId="92" applyNumberFormat="1" applyFont="1" applyFill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27" fillId="0" borderId="16" xfId="96" applyFont="1" applyBorder="1"/>
    <xf numFmtId="0" fontId="12" fillId="0" borderId="16" xfId="0" applyFont="1" applyBorder="1"/>
    <xf numFmtId="0" fontId="12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wrapText="1"/>
    </xf>
    <xf numFmtId="164" fontId="12" fillId="0" borderId="0" xfId="92" applyFont="1" applyFill="1"/>
    <xf numFmtId="0" fontId="27" fillId="2" borderId="16" xfId="0" applyFont="1" applyFill="1" applyBorder="1" applyAlignment="1">
      <alignment horizontal="left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39" fillId="0" borderId="7" xfId="95" applyFont="1" applyBorder="1" applyAlignment="1">
      <alignment vertical="center"/>
    </xf>
    <xf numFmtId="0" fontId="27" fillId="0" borderId="0" xfId="0" applyFont="1" applyAlignment="1">
      <alignment horizontal="justify" vertical="top" wrapText="1"/>
    </xf>
    <xf numFmtId="3" fontId="27" fillId="2" borderId="16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vertical="top" wrapText="1"/>
    </xf>
    <xf numFmtId="0" fontId="14" fillId="0" borderId="16" xfId="0" applyFont="1" applyBorder="1" applyAlignment="1">
      <alignment horizontal="center"/>
    </xf>
    <xf numFmtId="0" fontId="34" fillId="0" borderId="16" xfId="0" applyFont="1" applyBorder="1" applyAlignment="1">
      <alignment horizontal="left"/>
    </xf>
    <xf numFmtId="1" fontId="13" fillId="0" borderId="16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14" fillId="0" borderId="16" xfId="0" applyFont="1" applyBorder="1"/>
    <xf numFmtId="2" fontId="13" fillId="0" borderId="16" xfId="0" applyNumberFormat="1" applyFont="1" applyBorder="1" applyAlignment="1">
      <alignment horizontal="center"/>
    </xf>
    <xf numFmtId="0" fontId="14" fillId="2" borderId="16" xfId="0" applyFont="1" applyFill="1" applyBorder="1" applyAlignment="1">
      <alignment horizontal="left"/>
    </xf>
    <xf numFmtId="3" fontId="14" fillId="2" borderId="16" xfId="0" applyNumberFormat="1" applyFont="1" applyFill="1" applyBorder="1" applyAlignment="1">
      <alignment horizontal="center"/>
    </xf>
    <xf numFmtId="3" fontId="13" fillId="2" borderId="16" xfId="0" applyNumberFormat="1" applyFont="1" applyFill="1" applyBorder="1" applyAlignment="1">
      <alignment horizontal="center"/>
    </xf>
    <xf numFmtId="2" fontId="13" fillId="2" borderId="16" xfId="0" applyNumberFormat="1" applyFont="1" applyFill="1" applyBorder="1" applyAlignment="1">
      <alignment horizontal="center"/>
    </xf>
    <xf numFmtId="1" fontId="13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14" fillId="2" borderId="16" xfId="0" applyFont="1" applyFill="1" applyBorder="1"/>
    <xf numFmtId="165" fontId="13" fillId="2" borderId="16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20" fillId="0" borderId="0" xfId="0" applyFont="1" applyAlignment="1"/>
    <xf numFmtId="0" fontId="19" fillId="0" borderId="0" xfId="0" applyFont="1" applyAlignment="1"/>
  </cellXfs>
  <cellStyles count="110">
    <cellStyle name="cf1" xfId="99" xr:uid="{161C4D47-88BD-430F-A17F-B6AF77E2C965}"/>
    <cellStyle name="cf2" xfId="100" xr:uid="{48530496-996C-4697-ADA1-05BE7DAA15E3}"/>
    <cellStyle name="Excel Built-in Normal" xfId="1" xr:uid="{00000000-0005-0000-0000-000000000000}"/>
    <cellStyle name="Excel Built-in Normal 2" xfId="2" xr:uid="{00000000-0005-0000-0000-000001000000}"/>
    <cellStyle name="Excel Built-in Normal 2 2" xfId="3" xr:uid="{00000000-0005-0000-0000-000002000000}"/>
    <cellStyle name="Excel Built-in Normal 3" xfId="4" xr:uid="{00000000-0005-0000-0000-000003000000}"/>
    <cellStyle name="Hiperlink" xfId="95" builtinId="8"/>
    <cellStyle name="Hyperlink 2" xfId="5" xr:uid="{00000000-0005-0000-0000-000005000000}"/>
    <cellStyle name="Hyperlink 2 10" xfId="6" xr:uid="{00000000-0005-0000-0000-000006000000}"/>
    <cellStyle name="Hyperlink 2 11" xfId="7" xr:uid="{00000000-0005-0000-0000-000007000000}"/>
    <cellStyle name="Hyperlink 2 12" xfId="8" xr:uid="{00000000-0005-0000-0000-000008000000}"/>
    <cellStyle name="Hyperlink 2 13" xfId="9" xr:uid="{00000000-0005-0000-0000-000009000000}"/>
    <cellStyle name="Hyperlink 2 14" xfId="10" xr:uid="{00000000-0005-0000-0000-00000A000000}"/>
    <cellStyle name="Hyperlink 2 15" xfId="11" xr:uid="{00000000-0005-0000-0000-00000B000000}"/>
    <cellStyle name="Hyperlink 2 16" xfId="12" xr:uid="{00000000-0005-0000-0000-00000C000000}"/>
    <cellStyle name="Hyperlink 2 17" xfId="13" xr:uid="{00000000-0005-0000-0000-00000D000000}"/>
    <cellStyle name="Hyperlink 2 18" xfId="14" xr:uid="{00000000-0005-0000-0000-00000E000000}"/>
    <cellStyle name="Hyperlink 2 19" xfId="15" xr:uid="{00000000-0005-0000-0000-00000F000000}"/>
    <cellStyle name="Hyperlink 2 2" xfId="16" xr:uid="{00000000-0005-0000-0000-000010000000}"/>
    <cellStyle name="Hyperlink 2 2 2" xfId="17" xr:uid="{00000000-0005-0000-0000-000011000000}"/>
    <cellStyle name="Hyperlink 2 2 3" xfId="18" xr:uid="{00000000-0005-0000-0000-000012000000}"/>
    <cellStyle name="Hyperlink 2 2 4" xfId="19" xr:uid="{00000000-0005-0000-0000-000013000000}"/>
    <cellStyle name="Hyperlink 2 2 5" xfId="20" xr:uid="{00000000-0005-0000-0000-000014000000}"/>
    <cellStyle name="Hyperlink 2 2 6" xfId="21" xr:uid="{00000000-0005-0000-0000-000015000000}"/>
    <cellStyle name="Hyperlink 2 2 7" xfId="22" xr:uid="{00000000-0005-0000-0000-000016000000}"/>
    <cellStyle name="Hyperlink 2 2 8" xfId="23" xr:uid="{00000000-0005-0000-0000-000017000000}"/>
    <cellStyle name="Hyperlink 2 2 9" xfId="24" xr:uid="{00000000-0005-0000-0000-000018000000}"/>
    <cellStyle name="Hyperlink 2 20" xfId="25" xr:uid="{00000000-0005-0000-0000-000019000000}"/>
    <cellStyle name="Hyperlink 2 21" xfId="26" xr:uid="{00000000-0005-0000-0000-00001A000000}"/>
    <cellStyle name="Hyperlink 2 22" xfId="27" xr:uid="{00000000-0005-0000-0000-00001B000000}"/>
    <cellStyle name="Hyperlink 2 23" xfId="28" xr:uid="{00000000-0005-0000-0000-00001C000000}"/>
    <cellStyle name="Hyperlink 2 24" xfId="29" xr:uid="{00000000-0005-0000-0000-00001D000000}"/>
    <cellStyle name="Hyperlink 2 25" xfId="30" xr:uid="{00000000-0005-0000-0000-00001E000000}"/>
    <cellStyle name="Hyperlink 2 26" xfId="31" xr:uid="{00000000-0005-0000-0000-00001F000000}"/>
    <cellStyle name="Hyperlink 2 27" xfId="32" xr:uid="{00000000-0005-0000-0000-000020000000}"/>
    <cellStyle name="Hyperlink 2 28" xfId="33" xr:uid="{00000000-0005-0000-0000-000021000000}"/>
    <cellStyle name="Hyperlink 2 29" xfId="34" xr:uid="{00000000-0005-0000-0000-000022000000}"/>
    <cellStyle name="Hyperlink 2 3" xfId="35" xr:uid="{00000000-0005-0000-0000-000023000000}"/>
    <cellStyle name="Hyperlink 2 30" xfId="36" xr:uid="{00000000-0005-0000-0000-000024000000}"/>
    <cellStyle name="Hyperlink 2 31" xfId="37" xr:uid="{00000000-0005-0000-0000-000025000000}"/>
    <cellStyle name="Hyperlink 2 32" xfId="38" xr:uid="{00000000-0005-0000-0000-000026000000}"/>
    <cellStyle name="Hyperlink 2 33" xfId="39" xr:uid="{00000000-0005-0000-0000-000027000000}"/>
    <cellStyle name="Hyperlink 2 34" xfId="40" xr:uid="{00000000-0005-0000-0000-000028000000}"/>
    <cellStyle name="Hyperlink 2 35" xfId="41" xr:uid="{00000000-0005-0000-0000-000029000000}"/>
    <cellStyle name="Hyperlink 2 36" xfId="42" xr:uid="{00000000-0005-0000-0000-00002A000000}"/>
    <cellStyle name="Hyperlink 2 37" xfId="43" xr:uid="{00000000-0005-0000-0000-00002B000000}"/>
    <cellStyle name="Hyperlink 2 38" xfId="44" xr:uid="{00000000-0005-0000-0000-00002C000000}"/>
    <cellStyle name="Hyperlink 2 39" xfId="45" xr:uid="{00000000-0005-0000-0000-00002D000000}"/>
    <cellStyle name="Hyperlink 2 4" xfId="46" xr:uid="{00000000-0005-0000-0000-00002E000000}"/>
    <cellStyle name="Hyperlink 2 40" xfId="47" xr:uid="{00000000-0005-0000-0000-00002F000000}"/>
    <cellStyle name="Hyperlink 2 41" xfId="48" xr:uid="{00000000-0005-0000-0000-000030000000}"/>
    <cellStyle name="Hyperlink 2 42" xfId="49" xr:uid="{00000000-0005-0000-0000-000031000000}"/>
    <cellStyle name="Hyperlink 2 43" xfId="50" xr:uid="{00000000-0005-0000-0000-000032000000}"/>
    <cellStyle name="Hyperlink 2 44" xfId="51" xr:uid="{00000000-0005-0000-0000-000033000000}"/>
    <cellStyle name="Hyperlink 2 45" xfId="52" xr:uid="{00000000-0005-0000-0000-000034000000}"/>
    <cellStyle name="Hyperlink 2 46" xfId="53" xr:uid="{00000000-0005-0000-0000-000035000000}"/>
    <cellStyle name="Hyperlink 2 47" xfId="54" xr:uid="{00000000-0005-0000-0000-000036000000}"/>
    <cellStyle name="Hyperlink 2 48" xfId="55" xr:uid="{00000000-0005-0000-0000-000037000000}"/>
    <cellStyle name="Hyperlink 2 49" xfId="56" xr:uid="{00000000-0005-0000-0000-000038000000}"/>
    <cellStyle name="Hyperlink 2 5" xfId="57" xr:uid="{00000000-0005-0000-0000-000039000000}"/>
    <cellStyle name="Hyperlink 2 50" xfId="58" xr:uid="{00000000-0005-0000-0000-00003A000000}"/>
    <cellStyle name="Hyperlink 2 51" xfId="59" xr:uid="{00000000-0005-0000-0000-00003B000000}"/>
    <cellStyle name="Hyperlink 2 52" xfId="60" xr:uid="{00000000-0005-0000-0000-00003C000000}"/>
    <cellStyle name="Hyperlink 2 53" xfId="61" xr:uid="{00000000-0005-0000-0000-00003D000000}"/>
    <cellStyle name="Hyperlink 2 54" xfId="62" xr:uid="{00000000-0005-0000-0000-00003E000000}"/>
    <cellStyle name="Hyperlink 2 55" xfId="63" xr:uid="{00000000-0005-0000-0000-00003F000000}"/>
    <cellStyle name="Hyperlink 2 6" xfId="64" xr:uid="{00000000-0005-0000-0000-000040000000}"/>
    <cellStyle name="Hyperlink 2 7" xfId="65" xr:uid="{00000000-0005-0000-0000-000041000000}"/>
    <cellStyle name="Hyperlink 2 8" xfId="66" xr:uid="{00000000-0005-0000-0000-000042000000}"/>
    <cellStyle name="Hyperlink 2 9" xfId="67" xr:uid="{00000000-0005-0000-0000-000043000000}"/>
    <cellStyle name="Normal" xfId="0" builtinId="0" customBuiltin="1"/>
    <cellStyle name="Normal 2" xfId="68" xr:uid="{00000000-0005-0000-0000-000045000000}"/>
    <cellStyle name="Normal 2 10" xfId="69" xr:uid="{00000000-0005-0000-0000-000046000000}"/>
    <cellStyle name="Normal 2 11" xfId="70" xr:uid="{00000000-0005-0000-0000-000047000000}"/>
    <cellStyle name="Normal 2 12" xfId="71" xr:uid="{00000000-0005-0000-0000-000048000000}"/>
    <cellStyle name="Normal 2 13" xfId="72" xr:uid="{00000000-0005-0000-0000-000049000000}"/>
    <cellStyle name="Normal 2 14" xfId="73" xr:uid="{00000000-0005-0000-0000-00004A000000}"/>
    <cellStyle name="Normal 2 15" xfId="74" xr:uid="{00000000-0005-0000-0000-00004B000000}"/>
    <cellStyle name="Normal 2 16" xfId="75" xr:uid="{00000000-0005-0000-0000-00004C000000}"/>
    <cellStyle name="Normal 2 17" xfId="76" xr:uid="{00000000-0005-0000-0000-00004D000000}"/>
    <cellStyle name="Normal 2 18" xfId="77" xr:uid="{00000000-0005-0000-0000-00004E000000}"/>
    <cellStyle name="Normal 2 19" xfId="78" xr:uid="{00000000-0005-0000-0000-00004F000000}"/>
    <cellStyle name="Normal 2 2" xfId="79" xr:uid="{00000000-0005-0000-0000-000050000000}"/>
    <cellStyle name="Normal 2 2 2" xfId="94" xr:uid="{00000000-0005-0000-0000-000051000000}"/>
    <cellStyle name="Normal 2 2 3" xfId="101" xr:uid="{914D25CE-8B0B-41B8-BB77-7B97B3D5BF70}"/>
    <cellStyle name="Normal 2 20" xfId="80" xr:uid="{00000000-0005-0000-0000-000052000000}"/>
    <cellStyle name="Normal 2 21" xfId="96" xr:uid="{00000000-0005-0000-0000-000053000000}"/>
    <cellStyle name="Normal 2 3" xfId="81" xr:uid="{00000000-0005-0000-0000-000054000000}"/>
    <cellStyle name="Normal 2 4" xfId="82" xr:uid="{00000000-0005-0000-0000-000055000000}"/>
    <cellStyle name="Normal 2 5" xfId="83" xr:uid="{00000000-0005-0000-0000-000056000000}"/>
    <cellStyle name="Normal 2 6" xfId="84" xr:uid="{00000000-0005-0000-0000-000057000000}"/>
    <cellStyle name="Normal 2 7" xfId="85" xr:uid="{00000000-0005-0000-0000-000058000000}"/>
    <cellStyle name="Normal 2 8" xfId="86" xr:uid="{00000000-0005-0000-0000-000059000000}"/>
    <cellStyle name="Normal 2 9" xfId="87" xr:uid="{00000000-0005-0000-0000-00005A000000}"/>
    <cellStyle name="Normal 3" xfId="88" xr:uid="{00000000-0005-0000-0000-00005B000000}"/>
    <cellStyle name="Normal 3 2" xfId="103" xr:uid="{A6FBA1DA-D63F-49BA-913E-37FB12E36207}"/>
    <cellStyle name="Normal 3 3" xfId="102" xr:uid="{6666DBD8-CA48-4672-822F-B5C208E31FDE}"/>
    <cellStyle name="Normal 4" xfId="89" xr:uid="{00000000-0005-0000-0000-00005C000000}"/>
    <cellStyle name="Normal 4 2" xfId="97" xr:uid="{00000000-0005-0000-0000-00005D000000}"/>
    <cellStyle name="Normal 5" xfId="93" xr:uid="{00000000-0005-0000-0000-00005E000000}"/>
    <cellStyle name="Normal 5 2" xfId="104" xr:uid="{DD641C47-B9F6-4FF8-A10F-90EB848913C4}"/>
    <cellStyle name="Normal 6" xfId="90" xr:uid="{00000000-0005-0000-0000-00005F000000}"/>
    <cellStyle name="Normal 6 2" xfId="105" xr:uid="{2969C2F3-E7AB-4E0D-A434-00150B4EEBD1}"/>
    <cellStyle name="Normal 7" xfId="106" xr:uid="{1574B259-540C-49BB-8712-1FB245632030}"/>
    <cellStyle name="Normal 8" xfId="109" xr:uid="{04B02766-3D32-443D-8AA7-AC56597B0EE4}"/>
    <cellStyle name="Porcentagem 2" xfId="91" xr:uid="{00000000-0005-0000-0000-000060000000}"/>
    <cellStyle name="Título 3 2" xfId="98" xr:uid="{54362919-CD9E-4FC1-A449-64EF2CA8A0C1}"/>
    <cellStyle name="Vírgula" xfId="92" builtinId="3"/>
    <cellStyle name="Vírgula 2" xfId="107" xr:uid="{916E9641-9393-4069-9965-70A0CC4536EC}"/>
    <cellStyle name="Vírgula 3" xfId="108" xr:uid="{C05371D1-373C-44FB-9E96-723056957037}"/>
  </cellStyles>
  <dxfs count="1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rgb="FF00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000000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ill>
        <patternFill patternType="solid">
          <fgColor indexed="64"/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  <numFmt numFmtId="168" formatCode="mmm/\y\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9" formatCode="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9" formatCode="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9" formatCode="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7" formatCode="0.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7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9" formatCode="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9" formatCode="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pt-B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Distribuição</a:t>
            </a:r>
            <a:r>
              <a:rPr lang="pt-B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Percentual dos Tipos de Manifestação  </a:t>
            </a:r>
            <a:endPara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Protocolos!$A$5</c:f>
              <c:strCache>
                <c:ptCount val="1"/>
                <c:pt idx="0">
                  <c:v>Reclamação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C3-4E9C-8030-94FE56F4202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6C-43D0-B81F-A36A7E13A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Protocolos!$B$4:$C$4</c:f>
              <c:strCache>
                <c:ptCount val="2"/>
                <c:pt idx="0">
                  <c:v>1º Trimestre de 2025</c:v>
                </c:pt>
                <c:pt idx="1">
                  <c:v>2º Trimestre de 2025</c:v>
                </c:pt>
              </c:strCache>
            </c:strRef>
          </c:cat>
          <c:val>
            <c:numRef>
              <c:f>Protocolos!$B$5:$C$5</c:f>
              <c:numCache>
                <c:formatCode>#,##0</c:formatCode>
                <c:ptCount val="2"/>
                <c:pt idx="0">
                  <c:v>17947</c:v>
                </c:pt>
                <c:pt idx="1">
                  <c:v>15964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3-4E9C-8030-94FE56F4202D}"/>
            </c:ext>
          </c:extLst>
        </c:ser>
        <c:ser>
          <c:idx val="1"/>
          <c:order val="1"/>
          <c:tx>
            <c:strRef>
              <c:f>Protocolos!$A$6</c:f>
              <c:strCache>
                <c:ptCount val="1"/>
                <c:pt idx="0">
                  <c:v>Denúncia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Protocolos!$B$4:$C$4</c:f>
              <c:strCache>
                <c:ptCount val="2"/>
                <c:pt idx="0">
                  <c:v>1º Trimestre de 2025</c:v>
                </c:pt>
                <c:pt idx="1">
                  <c:v>2º Trimestre de 2025</c:v>
                </c:pt>
              </c:strCache>
            </c:strRef>
          </c:cat>
          <c:val>
            <c:numRef>
              <c:f>Protocolos!$B$6:$C$6</c:f>
              <c:numCache>
                <c:formatCode>#,##0</c:formatCode>
                <c:ptCount val="2"/>
                <c:pt idx="0">
                  <c:v>1054</c:v>
                </c:pt>
                <c:pt idx="1">
                  <c:v>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C3-4E9C-8030-94FE56F4202D}"/>
            </c:ext>
          </c:extLst>
        </c:ser>
        <c:ser>
          <c:idx val="2"/>
          <c:order val="2"/>
          <c:tx>
            <c:strRef>
              <c:f>Protocolos!$A$7</c:f>
              <c:strCache>
                <c:ptCount val="1"/>
                <c:pt idx="0">
                  <c:v>Solicitação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Protocolos!$B$4:$C$4</c:f>
              <c:strCache>
                <c:ptCount val="2"/>
                <c:pt idx="0">
                  <c:v>1º Trimestre de 2025</c:v>
                </c:pt>
                <c:pt idx="1">
                  <c:v>2º Trimestre de 2025</c:v>
                </c:pt>
              </c:strCache>
            </c:strRef>
          </c:cat>
          <c:val>
            <c:numRef>
              <c:f>Protocolos!$B$7:$C$7</c:f>
              <c:numCache>
                <c:formatCode>#,##0</c:formatCode>
                <c:ptCount val="2"/>
                <c:pt idx="0">
                  <c:v>738</c:v>
                </c:pt>
                <c:pt idx="1">
                  <c:v>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3-4E9C-8030-94FE56F4202D}"/>
            </c:ext>
          </c:extLst>
        </c:ser>
        <c:ser>
          <c:idx val="3"/>
          <c:order val="3"/>
          <c:tx>
            <c:strRef>
              <c:f>Protocolos!$A$8</c:f>
              <c:strCache>
                <c:ptCount val="1"/>
                <c:pt idx="0">
                  <c:v>Elogio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Protocolos!$B$4:$C$4</c:f>
              <c:strCache>
                <c:ptCount val="2"/>
                <c:pt idx="0">
                  <c:v>1º Trimestre de 2025</c:v>
                </c:pt>
                <c:pt idx="1">
                  <c:v>2º Trimestre de 2025</c:v>
                </c:pt>
              </c:strCache>
            </c:strRef>
          </c:cat>
          <c:val>
            <c:numRef>
              <c:f>Protocolos!$B$8:$C$8</c:f>
              <c:numCache>
                <c:formatCode>#,##0</c:formatCode>
                <c:ptCount val="2"/>
                <c:pt idx="0">
                  <c:v>275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C3-4E9C-8030-94FE56F4202D}"/>
            </c:ext>
          </c:extLst>
        </c:ser>
        <c:ser>
          <c:idx val="4"/>
          <c:order val="4"/>
          <c:tx>
            <c:strRef>
              <c:f>Protocolos!$A$9</c:f>
              <c:strCache>
                <c:ptCount val="1"/>
                <c:pt idx="0">
                  <c:v>Sugestão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Protocolos!$B$4:$C$4</c:f>
              <c:strCache>
                <c:ptCount val="2"/>
                <c:pt idx="0">
                  <c:v>1º Trimestre de 2025</c:v>
                </c:pt>
                <c:pt idx="1">
                  <c:v>2º Trimestre de 2025</c:v>
                </c:pt>
              </c:strCache>
            </c:strRef>
          </c:cat>
          <c:val>
            <c:numRef>
              <c:f>Protocolos!$B$9:$C$9</c:f>
              <c:numCache>
                <c:formatCode>#,##0</c:formatCode>
                <c:ptCount val="2"/>
                <c:pt idx="0">
                  <c:v>219</c:v>
                </c:pt>
                <c:pt idx="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C3-4E9C-8030-94FE56F4202D}"/>
            </c:ext>
          </c:extLst>
        </c:ser>
        <c:ser>
          <c:idx val="5"/>
          <c:order val="5"/>
          <c:tx>
            <c:strRef>
              <c:f>Protocolos!$A$10</c:f>
              <c:strCache>
                <c:ptCount val="1"/>
                <c:pt idx="0">
                  <c:v>Manifestações sobre o BRT Aricanduva*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Protocolos!$B$4:$C$4</c:f>
              <c:strCache>
                <c:ptCount val="2"/>
                <c:pt idx="0">
                  <c:v>1º Trimestre de 2025</c:v>
                </c:pt>
                <c:pt idx="1">
                  <c:v>2º Trimestre de 2025</c:v>
                </c:pt>
              </c:strCache>
            </c:strRef>
          </c:cat>
          <c:val>
            <c:numRef>
              <c:f>Protocolos!$B$10:$C$10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C3-4E9C-8030-94FE56F42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72225279"/>
        <c:axId val="772217375"/>
      </c:barChart>
      <c:catAx>
        <c:axId val="772225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72217375"/>
        <c:crosses val="autoZero"/>
        <c:auto val="1"/>
        <c:lblAlgn val="ctr"/>
        <c:lblOffset val="100"/>
        <c:noMultiLvlLbl val="0"/>
      </c:catAx>
      <c:valAx>
        <c:axId val="77221737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72225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/>
              <a:t>Distribuição das Manifestações entre as Subprefeituras – Participação das 10 Mais Demandadas [2º trimestre de 2025]</a:t>
            </a:r>
            <a:endParaRPr lang="pt-B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74-409D-AC80-1C629B176B7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74-409D-AC80-1C629B176B74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'10+_Subprefeituras_2025'!$B$17:$B$18</c:f>
              <c:strCache>
                <c:ptCount val="2"/>
                <c:pt idx="0">
                  <c:v>Total das 10 Subprefeituras + Demandadas</c:v>
                </c:pt>
                <c:pt idx="1">
                  <c:v>Outras</c:v>
                </c:pt>
              </c:strCache>
            </c:strRef>
          </c:cat>
          <c:val>
            <c:numRef>
              <c:f>'10+_Subprefeituras_2025'!$I$17:$I$18</c:f>
              <c:numCache>
                <c:formatCode>0.00</c:formatCode>
                <c:ptCount val="2"/>
                <c:pt idx="0">
                  <c:v>55.31522025850699</c:v>
                </c:pt>
                <c:pt idx="1">
                  <c:v>44.68477974149301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4-409D-AC80-1C629B176B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Distribuição Percentual das </a:t>
            </a:r>
            <a:r>
              <a:rPr lang="pt-BR" sz="1100" b="1" i="0" u="none" strike="noStrike" baseline="0"/>
              <a:t>Subprefeituras</a:t>
            </a:r>
            <a:r>
              <a:rPr lang="pt-BR" sz="110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Mais Demandadas </a:t>
            </a:r>
            <a:r>
              <a:rPr lang="pt-BR" sz="11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[ 2° trimestre 2025]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'10+_Subprefeituras_2025'!$B$22</c:f>
              <c:strCache>
                <c:ptCount val="1"/>
                <c:pt idx="0">
                  <c:v>Itaquera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'10+_Subprefeituras_2025'!$C$22</c:f>
              <c:numCache>
                <c:formatCode>0.00</c:formatCode>
                <c:ptCount val="1"/>
                <c:pt idx="0">
                  <c:v>3.7984700606700077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7-4C39-AB15-D3AE40A38387}"/>
            </c:ext>
          </c:extLst>
        </c:ser>
        <c:ser>
          <c:idx val="1"/>
          <c:order val="1"/>
          <c:tx>
            <c:strRef>
              <c:f>'10+_Subprefeituras_2025'!$B$23</c:f>
              <c:strCache>
                <c:ptCount val="1"/>
                <c:pt idx="0">
                  <c:v>Santana/Tucuruvi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'10+_Subprefeituras_2025'!$C$23</c:f>
              <c:numCache>
                <c:formatCode>0.00</c:formatCode>
                <c:ptCount val="1"/>
                <c:pt idx="0">
                  <c:v>4.1150092323925085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7-4C39-AB15-D3AE40A38387}"/>
            </c:ext>
          </c:extLst>
        </c:ser>
        <c:ser>
          <c:idx val="2"/>
          <c:order val="2"/>
          <c:tx>
            <c:strRef>
              <c:f>'10+_Subprefeituras_2025'!$B$24</c:f>
              <c:strCache>
                <c:ptCount val="1"/>
                <c:pt idx="0">
                  <c:v>Penha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'10+_Subprefeituras_2025'!$C$24</c:f>
              <c:numCache>
                <c:formatCode>0.00</c:formatCode>
                <c:ptCount val="1"/>
                <c:pt idx="0">
                  <c:v>4.3524136111843843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7-4C39-AB15-D3AE40A38387}"/>
            </c:ext>
          </c:extLst>
        </c:ser>
        <c:ser>
          <c:idx val="3"/>
          <c:order val="3"/>
          <c:tx>
            <c:strRef>
              <c:f>'10+_Subprefeituras_2025'!$B$25</c:f>
              <c:strCache>
                <c:ptCount val="1"/>
                <c:pt idx="0">
                  <c:v>Mooca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'10+_Subprefeituras_2025'!$C$25</c:f>
              <c:numCache>
                <c:formatCode>0.00</c:formatCode>
                <c:ptCount val="1"/>
                <c:pt idx="0">
                  <c:v>4.6689527829068851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7-4C39-AB15-D3AE40A38387}"/>
            </c:ext>
          </c:extLst>
        </c:ser>
        <c:ser>
          <c:idx val="4"/>
          <c:order val="4"/>
          <c:tx>
            <c:strRef>
              <c:f>'10+_Subprefeituras_2025'!$B$26</c:f>
              <c:strCache>
                <c:ptCount val="1"/>
                <c:pt idx="0">
                  <c:v>Pinheiros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'10+_Subprefeituras_2025'!$C$26</c:f>
              <c:numCache>
                <c:formatCode>0.00</c:formatCode>
                <c:ptCount val="1"/>
                <c:pt idx="0">
                  <c:v>4.8799788973885514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97-4C39-AB15-D3AE40A38387}"/>
            </c:ext>
          </c:extLst>
        </c:ser>
        <c:ser>
          <c:idx val="5"/>
          <c:order val="5"/>
          <c:tx>
            <c:strRef>
              <c:f>'10+_Subprefeituras_2025'!$B$27</c:f>
              <c:strCache>
                <c:ptCount val="1"/>
                <c:pt idx="0">
                  <c:v>Pirituba/Jaraguá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'10+_Subprefeituras_2025'!$C$27</c:f>
              <c:numCache>
                <c:formatCode>0.00</c:formatCode>
                <c:ptCount val="1"/>
                <c:pt idx="0">
                  <c:v>4.9327354260089686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97-4C39-AB15-D3AE40A38387}"/>
            </c:ext>
          </c:extLst>
        </c:ser>
        <c:ser>
          <c:idx val="6"/>
          <c:order val="6"/>
          <c:tx>
            <c:strRef>
              <c:f>'10+_Subprefeituras_2025'!$B$28</c:f>
              <c:strCache>
                <c:ptCount val="1"/>
                <c:pt idx="0">
                  <c:v>Lapa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'10+_Subprefeituras_2025'!$C$28</c:f>
              <c:numCache>
                <c:formatCode>0.00</c:formatCode>
                <c:ptCount val="1"/>
                <c:pt idx="0">
                  <c:v>5.0646267475600109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97-4C39-AB15-D3AE40A38387}"/>
            </c:ext>
          </c:extLst>
        </c:ser>
        <c:ser>
          <c:idx val="7"/>
          <c:order val="7"/>
          <c:tx>
            <c:strRef>
              <c:f>'10+_Subprefeituras_2025'!$B$29</c:f>
              <c:strCache>
                <c:ptCount val="1"/>
                <c:pt idx="0">
                  <c:v>Ipiranga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'10+_Subprefeituras_2025'!$C$29</c:f>
              <c:numCache>
                <c:formatCode>0.00</c:formatCode>
                <c:ptCount val="1"/>
                <c:pt idx="0">
                  <c:v>5.9087312054866787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97-4C39-AB15-D3AE40A38387}"/>
            </c:ext>
          </c:extLst>
        </c:ser>
        <c:ser>
          <c:idx val="8"/>
          <c:order val="8"/>
          <c:tx>
            <c:strRef>
              <c:f>'10+_Subprefeituras_2025'!$B$30</c:f>
              <c:strCache>
                <c:ptCount val="1"/>
                <c:pt idx="0">
                  <c:v>Butantã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'10+_Subprefeituras_2025'!$C$30</c:f>
              <c:numCache>
                <c:formatCode>0.00</c:formatCode>
                <c:ptCount val="1"/>
                <c:pt idx="0">
                  <c:v>7.4386705354787654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97-4C39-AB15-D3AE40A38387}"/>
            </c:ext>
          </c:extLst>
        </c:ser>
        <c:ser>
          <c:idx val="9"/>
          <c:order val="9"/>
          <c:tx>
            <c:strRef>
              <c:f>'10+_Subprefeituras_2025'!$B$31</c:f>
              <c:strCache>
                <c:ptCount val="1"/>
                <c:pt idx="0">
                  <c:v>Sé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spcCol="14400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'10+_Subprefeituras_2025'!$C$31</c:f>
              <c:numCache>
                <c:formatCode>0.00</c:formatCode>
                <c:ptCount val="1"/>
                <c:pt idx="0">
                  <c:v>10.15563175943023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97-4C39-AB15-D3AE40A383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073809648"/>
        <c:axId val="1073810064"/>
      </c:barChart>
      <c:catAx>
        <c:axId val="10738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10064"/>
        <c:crosses val="autoZero"/>
        <c:auto val="1"/>
        <c:lblAlgn val="ctr"/>
        <c:lblOffset val="100"/>
        <c:noMultiLvlLbl val="0"/>
      </c:catAx>
      <c:valAx>
        <c:axId val="1073810064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929564789538991"/>
          <c:y val="0.16048561092680569"/>
          <c:w val="0.25701776724323688"/>
          <c:h val="0.83753217569862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Canais</a:t>
            </a:r>
            <a:r>
              <a:rPr lang="pt-BR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Atendimento (2025)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'Canais_atendimento'!$B$4</c:f>
              <c:strCache>
                <c:ptCount val="1"/>
                <c:pt idx="0">
                  <c:v>1° trim 2025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'Canais_atendimento'!$A$5:$A$12</c:f>
              <c:strCache>
                <c:ptCount val="8"/>
                <c:pt idx="0">
                  <c:v>Portal</c:v>
                </c:pt>
                <c:pt idx="1">
                  <c:v>E-mail</c:v>
                </c:pt>
                <c:pt idx="2">
                  <c:v>Central SP156</c:v>
                </c:pt>
                <c:pt idx="3">
                  <c:v>Zap Denúncia</c:v>
                </c:pt>
                <c:pt idx="4">
                  <c:v>Encaminhamento de outros órgãos (Processo SEI, Memorando, Ofício, etc.)</c:v>
                </c:pt>
                <c:pt idx="5">
                  <c:v>Presencial</c:v>
                </c:pt>
                <c:pt idx="6">
                  <c:v>App SP156*</c:v>
                </c:pt>
                <c:pt idx="7">
                  <c:v>Carta</c:v>
                </c:pt>
              </c:strCache>
            </c:strRef>
          </c:cat>
          <c:val>
            <c:numRef>
              <c:f>'Canais_atendimento'!$B$5:$B$12</c:f>
              <c:numCache>
                <c:formatCode>0</c:formatCode>
                <c:ptCount val="8"/>
                <c:pt idx="0">
                  <c:v>7877</c:v>
                </c:pt>
                <c:pt idx="1">
                  <c:v>3927</c:v>
                </c:pt>
                <c:pt idx="2">
                  <c:v>4392</c:v>
                </c:pt>
                <c:pt idx="3">
                  <c:v>1951</c:v>
                </c:pt>
                <c:pt idx="4">
                  <c:v>1251</c:v>
                </c:pt>
                <c:pt idx="5">
                  <c:v>618</c:v>
                </c:pt>
                <c:pt idx="6">
                  <c:v>181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8-4C5D-940A-68AC92B6FB5A}"/>
            </c:ext>
          </c:extLst>
        </c:ser>
        <c:ser>
          <c:idx val="1"/>
          <c:order val="1"/>
          <c:tx>
            <c:strRef>
              <c:f>'Canais_atendimento'!$C$4</c:f>
              <c:strCache>
                <c:ptCount val="1"/>
                <c:pt idx="0">
                  <c:v>2° trim 2025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'Canais_atendimento'!$A$5:$A$12</c:f>
              <c:strCache>
                <c:ptCount val="8"/>
                <c:pt idx="0">
                  <c:v>Portal</c:v>
                </c:pt>
                <c:pt idx="1">
                  <c:v>E-mail</c:v>
                </c:pt>
                <c:pt idx="2">
                  <c:v>Central SP156</c:v>
                </c:pt>
                <c:pt idx="3">
                  <c:v>Zap Denúncia</c:v>
                </c:pt>
                <c:pt idx="4">
                  <c:v>Encaminhamento de outros órgãos (Processo SEI, Memorando, Ofício, etc.)</c:v>
                </c:pt>
                <c:pt idx="5">
                  <c:v>Presencial</c:v>
                </c:pt>
                <c:pt idx="6">
                  <c:v>App SP156*</c:v>
                </c:pt>
                <c:pt idx="7">
                  <c:v>Carta</c:v>
                </c:pt>
              </c:strCache>
            </c:strRef>
          </c:cat>
          <c:val>
            <c:numRef>
              <c:f>'Canais_atendimento'!$C$5:$C$12</c:f>
              <c:numCache>
                <c:formatCode>General</c:formatCode>
                <c:ptCount val="8"/>
                <c:pt idx="0">
                  <c:v>7452</c:v>
                </c:pt>
                <c:pt idx="1">
                  <c:v>4124</c:v>
                </c:pt>
                <c:pt idx="2">
                  <c:v>3198</c:v>
                </c:pt>
                <c:pt idx="3">
                  <c:v>1888</c:v>
                </c:pt>
                <c:pt idx="4">
                  <c:v>992</c:v>
                </c:pt>
                <c:pt idx="5">
                  <c:v>516</c:v>
                </c:pt>
                <c:pt idx="6">
                  <c:v>28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8-4C5D-940A-68AC92B6FB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61046384"/>
        <c:axId val="461051184"/>
      </c:barChart>
      <c:catAx>
        <c:axId val="461046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61051184"/>
        <c:crosses val="autoZero"/>
        <c:auto val="1"/>
        <c:lblAlgn val="ctr"/>
        <c:lblOffset val="100"/>
        <c:noMultiLvlLbl val="0"/>
      </c:catAx>
      <c:valAx>
        <c:axId val="461051184"/>
        <c:scaling>
          <c:orientation val="minMax"/>
          <c:max val="8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6104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10 assuntos mais solicitados </a:t>
            </a:r>
            <a:r>
              <a:rPr lang="pt-BR" sz="1100" b="1" i="0" u="none" strike="noStrike" baseline="0">
                <a:effectLst/>
              </a:rPr>
              <a:t>[Média Trimestral 2025]</a:t>
            </a:r>
            <a:endParaRPr lang="pt-BR"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45566031545948305"/>
          <c:y val="0.17562437612311707"/>
          <c:w val="0.46796779035148983"/>
          <c:h val="0.8073470959059808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7-472A-88F0-69BE8D67D3E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690-4BDF-976F-EE5B01672C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90-4BDF-976F-EE5B01672C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690-4BDF-976F-EE5B01672C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90-4BDF-976F-EE5B01672C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690-4BDF-976F-EE5B01672C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90-4BDF-976F-EE5B01672C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90-4BDF-976F-EE5B01672C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90-4BDF-976F-EE5B01672C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90-4BDF-976F-EE5B01672C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'10+_Assuntos_2025'!$B$7:$B$16</c:f>
              <c:strCache>
                <c:ptCount val="10"/>
                <c:pt idx="0">
                  <c:v>Órgão externo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Ônibus</c:v>
                </c:pt>
                <c:pt idx="4">
                  <c:v>Árvore</c:v>
                </c:pt>
                <c:pt idx="5">
                  <c:v>Processo Administrativo</c:v>
                </c:pt>
                <c:pt idx="6">
                  <c:v>Ponto viciado, entulho e caçamba de entulho</c:v>
                </c:pt>
                <c:pt idx="7">
                  <c:v>Veículos abandonados</c:v>
                </c:pt>
                <c:pt idx="8">
                  <c:v>Poluição sonora - PSIU</c:v>
                </c:pt>
                <c:pt idx="9">
                  <c:v>Cadastro Único (CadÚnico)</c:v>
                </c:pt>
              </c:strCache>
            </c:strRef>
          </c:cat>
          <c:val>
            <c:numRef>
              <c:f>'10+_Assuntos_2025'!$H$7:$H$16</c:f>
              <c:numCache>
                <c:formatCode>0</c:formatCode>
                <c:ptCount val="10"/>
                <c:pt idx="0">
                  <c:v>1150</c:v>
                </c:pt>
                <c:pt idx="1">
                  <c:v>981.5</c:v>
                </c:pt>
                <c:pt idx="2">
                  <c:v>894</c:v>
                </c:pt>
                <c:pt idx="3">
                  <c:v>831</c:v>
                </c:pt>
                <c:pt idx="4">
                  <c:v>804</c:v>
                </c:pt>
                <c:pt idx="5">
                  <c:v>676.5</c:v>
                </c:pt>
                <c:pt idx="6">
                  <c:v>628</c:v>
                </c:pt>
                <c:pt idx="7">
                  <c:v>559</c:v>
                </c:pt>
                <c:pt idx="8">
                  <c:v>552.5</c:v>
                </c:pt>
                <c:pt idx="9">
                  <c:v>506.5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90-4BDF-976F-EE5B0167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axMin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/>
              <a:t>Participação dos 10 Assuntos Mais Demandados nas Manifestações </a:t>
            </a:r>
            <a:r>
              <a:rPr lang="pt-BR" sz="1100" b="1" i="0" u="none" strike="noStrike" baseline="0">
                <a:effectLst/>
              </a:rPr>
              <a:t>[ 2° trimestre 2025]</a:t>
            </a:r>
            <a:r>
              <a:rPr lang="pt-BR" sz="11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pt-B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13C-4C24-9A89-35148C11D2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13C-4C24-9A89-35148C11D210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'10+_Assuntos_2025'!$B$17:$B$18</c:f>
              <c:strCache>
                <c:ptCount val="2"/>
                <c:pt idx="0">
                  <c:v>Total dos 10 Assuntos + Demandados</c:v>
                </c:pt>
                <c:pt idx="1">
                  <c:v>Outros</c:v>
                </c:pt>
              </c:strCache>
            </c:strRef>
          </c:cat>
          <c:val>
            <c:numRef>
              <c:f>'10+_Assuntos_2025'!$I$17:$I$18</c:f>
              <c:numCache>
                <c:formatCode>0.00</c:formatCode>
                <c:ptCount val="2"/>
                <c:pt idx="0">
                  <c:v>43.28323293759869</c:v>
                </c:pt>
                <c:pt idx="1">
                  <c:v>56.71676706240131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F-4301-93C2-8AE7D2D73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Distribuição Percentual dos Assuntos Mais Demandados </a:t>
            </a:r>
            <a:r>
              <a:rPr lang="pt-BR" sz="11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[2° trimestre 2025]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'10+_Assuntos_2025'!$B$21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'10+_Assuntos_2025'!$C$21</c:f>
              <c:numCache>
                <c:formatCode>0.00</c:formatCode>
                <c:ptCount val="1"/>
                <c:pt idx="0">
                  <c:v>2.321773203111293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3-46F5-8FEA-99DECEB00EDE}"/>
            </c:ext>
          </c:extLst>
        </c:ser>
        <c:ser>
          <c:idx val="1"/>
          <c:order val="1"/>
          <c:tx>
            <c:strRef>
              <c:f>'10+_Assuntos_2025'!$B$22</c:f>
              <c:strCache>
                <c:ptCount val="1"/>
                <c:pt idx="0">
                  <c:v>Ponto viciado, entulho e caçamba de entulho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'10+_Assuntos_2025'!$C$22</c:f>
              <c:numCache>
                <c:formatCode>0.00</c:formatCode>
                <c:ptCount val="1"/>
                <c:pt idx="0">
                  <c:v>2.5615533072109482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3-46F5-8FEA-99DECEB00EDE}"/>
            </c:ext>
          </c:extLst>
        </c:ser>
        <c:ser>
          <c:idx val="2"/>
          <c:order val="2"/>
          <c:tx>
            <c:strRef>
              <c:f>'10+_Assuntos_2025'!$B$23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'10+_Assuntos_2025'!$C$23</c:f>
              <c:numCache>
                <c:formatCode>0.00</c:formatCode>
                <c:ptCount val="1"/>
                <c:pt idx="0">
                  <c:v>3.2165623720685419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3-46F5-8FEA-99DECEB00EDE}"/>
            </c:ext>
          </c:extLst>
        </c:ser>
        <c:ser>
          <c:idx val="3"/>
          <c:order val="3"/>
          <c:tx>
            <c:strRef>
              <c:f>'10+_Assuntos_2025'!$B$24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'10+_Assuntos_2025'!$C$24</c:f>
              <c:numCache>
                <c:formatCode>0.00</c:formatCode>
                <c:ptCount val="1"/>
                <c:pt idx="0">
                  <c:v>3.7955435990408795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53-46F5-8FEA-99DECEB00EDE}"/>
            </c:ext>
          </c:extLst>
        </c:ser>
        <c:ser>
          <c:idx val="4"/>
          <c:order val="4"/>
          <c:tx>
            <c:strRef>
              <c:f>'10+_Assuntos_2025'!$B$25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'10+_Assuntos_2025'!$C$25</c:f>
              <c:numCache>
                <c:formatCode>0.00</c:formatCode>
                <c:ptCount val="1"/>
                <c:pt idx="0">
                  <c:v>3.9592958652552781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53-46F5-8FEA-99DECEB00EDE}"/>
            </c:ext>
          </c:extLst>
        </c:ser>
        <c:ser>
          <c:idx val="5"/>
          <c:order val="5"/>
          <c:tx>
            <c:strRef>
              <c:f>'10+_Assuntos_2025'!$B$26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'10+_Assuntos_2025'!$C$26</c:f>
              <c:numCache>
                <c:formatCode>0.00</c:formatCode>
                <c:ptCount val="1"/>
                <c:pt idx="0">
                  <c:v>4.2868003976840754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53-46F5-8FEA-99DECEB00EDE}"/>
            </c:ext>
          </c:extLst>
        </c:ser>
        <c:ser>
          <c:idx val="6"/>
          <c:order val="6"/>
          <c:tx>
            <c:strRef>
              <c:f>'10+_Assuntos_2025'!$B$27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'10+_Assuntos_2025'!$C$27</c:f>
              <c:numCache>
                <c:formatCode>0.00</c:formatCode>
                <c:ptCount val="1"/>
                <c:pt idx="0">
                  <c:v>4.6610912918884146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53-46F5-8FEA-99DECEB00EDE}"/>
            </c:ext>
          </c:extLst>
        </c:ser>
        <c:ser>
          <c:idx val="7"/>
          <c:order val="7"/>
          <c:tx>
            <c:strRef>
              <c:f>'10+_Assuntos_2025'!$B$28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'10+_Assuntos_2025'!$C$28</c:f>
              <c:numCache>
                <c:formatCode>0.00</c:formatCode>
                <c:ptCount val="1"/>
                <c:pt idx="0">
                  <c:v>5.7137844318381195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53-46F5-8FEA-99DECEB00EDE}"/>
            </c:ext>
          </c:extLst>
        </c:ser>
        <c:ser>
          <c:idx val="8"/>
          <c:order val="8"/>
          <c:tx>
            <c:strRef>
              <c:f>'10+_Assuntos_2025'!$B$29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'10+_Assuntos_2025'!$C$29</c:f>
              <c:numCache>
                <c:formatCode>0.00</c:formatCode>
                <c:ptCount val="1"/>
                <c:pt idx="0">
                  <c:v>5.7664190888356046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53-46F5-8FEA-99DECEB00EDE}"/>
            </c:ext>
          </c:extLst>
        </c:ser>
        <c:ser>
          <c:idx val="9"/>
          <c:order val="9"/>
          <c:tx>
            <c:strRef>
              <c:f>'10+_Assuntos_2025'!$B$30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spcCol="14400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'10+_Assuntos_2025'!$C$30</c:f>
              <c:numCache>
                <c:formatCode>0.00</c:formatCode>
                <c:ptCount val="1"/>
                <c:pt idx="0">
                  <c:v>7.0004093806655359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53-46F5-8FEA-99DECEB00E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073809648"/>
        <c:axId val="1073810064"/>
      </c:barChart>
      <c:catAx>
        <c:axId val="10738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10064"/>
        <c:crosses val="autoZero"/>
        <c:auto val="1"/>
        <c:lblAlgn val="ctr"/>
        <c:lblOffset val="100"/>
        <c:noMultiLvlLbl val="0"/>
      </c:catAx>
      <c:valAx>
        <c:axId val="107381006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466141732283463"/>
          <c:y val="0.19461239082277551"/>
          <c:w val="0.3399446283635984"/>
          <c:h val="0.78918605419288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pt-BR"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anose="020B0604020202020204" pitchFamily="34" charset="0"/>
                <a:cs typeface="Arial" panose="020B0604020202020204" pitchFamily="34" charset="0"/>
              </a:rPr>
              <a:t>10 Unidades mais demandadas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t-BR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[ Média Trimestral 2025]</a:t>
            </a: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pt-BR" sz="12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bar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9C-4A7E-BF6A-38B95312046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0B1-419D-842A-946D1F590BB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B1-419D-842A-946D1F590B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B1-419D-842A-946D1F590BB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B1-419D-842A-946D1F590BB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0B1-419D-842A-946D1F590BB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1-419D-842A-946D1F590BB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B1-419D-842A-946D1F590BB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B1-419D-842A-946D1F590BB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0B1-419D-842A-946D1F590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'10+_Unidades_2025'!$B$7:$B$16</c:f>
              <c:strCache>
                <c:ptCount val="10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Secretaria Executiva de Limpeza Urbana</c:v>
                </c:pt>
                <c:pt idx="3">
                  <c:v>Secretaria Municipal de Educação</c:v>
                </c:pt>
                <c:pt idx="4">
                  <c:v>São Paulo Transportes</c:v>
                </c:pt>
                <c:pt idx="5">
                  <c:v>Companhia de Engenharia de Tráfego</c:v>
                </c:pt>
                <c:pt idx="6">
                  <c:v>Órgão externo</c:v>
                </c:pt>
                <c:pt idx="7">
                  <c:v>Secretaria Municipal da Fazenda</c:v>
                </c:pt>
                <c:pt idx="8">
                  <c:v>Secretaria Municipal de Assistência e Desenvolvimento Social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'10+_Unidades_2025'!$H$7:$H$16</c:f>
              <c:numCache>
                <c:formatCode>0</c:formatCode>
                <c:ptCount val="10"/>
                <c:pt idx="0">
                  <c:v>2001</c:v>
                </c:pt>
                <c:pt idx="1">
                  <c:v>1686</c:v>
                </c:pt>
                <c:pt idx="2">
                  <c:v>1501</c:v>
                </c:pt>
                <c:pt idx="3">
                  <c:v>1246</c:v>
                </c:pt>
                <c:pt idx="4">
                  <c:v>1179</c:v>
                </c:pt>
                <c:pt idx="5">
                  <c:v>1166</c:v>
                </c:pt>
                <c:pt idx="6">
                  <c:v>1152</c:v>
                </c:pt>
                <c:pt idx="7">
                  <c:v>963.5</c:v>
                </c:pt>
                <c:pt idx="8">
                  <c:v>932.5</c:v>
                </c:pt>
                <c:pt idx="9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1-419D-842A-946D1F590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t"/>
        <c:majorGridlines>
          <c:spPr>
            <a:ln w="634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axMin"/>
        </c:scaling>
        <c:delete val="0"/>
        <c:axPos val="l"/>
        <c:majorGridlines>
          <c:spPr>
            <a:ln w="634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6345" cap="flat" cmpd="sng" algn="ctr">
      <a:solidFill>
        <a:schemeClr val="tx2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/>
              <a:t>Participação das 10 Unidades Mais Demandadas nas Manifestações </a:t>
            </a:r>
            <a:r>
              <a:rPr lang="pt-BR" sz="1100" b="1" i="0" u="none" strike="noStrike" baseline="0">
                <a:effectLst/>
              </a:rPr>
              <a:t>[ 2° trimestre 2025]</a:t>
            </a:r>
            <a:r>
              <a:rPr lang="pt-BR" sz="11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pt-B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D8-4CB9-84F3-5C97B720478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3D8-4CB9-84F3-5C97B7204788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'10+_Unidades_2025'!$B$17:$B$18</c:f>
              <c:strCache>
                <c:ptCount val="2"/>
                <c:pt idx="0">
                  <c:v>Total das 10 Unidades + Demandadas</c:v>
                </c:pt>
                <c:pt idx="1">
                  <c:v>Outros</c:v>
                </c:pt>
              </c:strCache>
            </c:strRef>
          </c:cat>
          <c:val>
            <c:numRef>
              <c:f>'10+_Unidades_2025'!$I$17:$I$18</c:f>
              <c:numCache>
                <c:formatCode>0.00</c:formatCode>
                <c:ptCount val="2"/>
                <c:pt idx="0">
                  <c:v>66.688110415813796</c:v>
                </c:pt>
                <c:pt idx="1">
                  <c:v>33.311889584186204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8-4CB9-84F3-5C97B72047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Distribuição Percentual das Unidades Mais Demandadas </a:t>
            </a:r>
            <a:r>
              <a:rPr lang="pt-BR" sz="11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[2° trimestre 2025]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'10+_Unidades_2025'!$B$22</c:f>
              <c:strCache>
                <c:ptCount val="1"/>
                <c:pt idx="0">
                  <c:v>Agência Reguladora de Serviços Públicos do Município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'10+_Unidades_2025'!$C$22</c:f>
              <c:numCache>
                <c:formatCode>0.00</c:formatCode>
                <c:ptCount val="1"/>
                <c:pt idx="0">
                  <c:v>2.1346277560091234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B-4E97-B9D6-1304DB5A84D8}"/>
            </c:ext>
          </c:extLst>
        </c:ser>
        <c:ser>
          <c:idx val="1"/>
          <c:order val="1"/>
          <c:tx>
            <c:strRef>
              <c:f>'10+_Unidades_2025'!$B$23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'10+_Unidades_2025'!$C$23</c:f>
              <c:numCache>
                <c:formatCode>0.00</c:formatCode>
                <c:ptCount val="1"/>
                <c:pt idx="0">
                  <c:v>4.8248435581028133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B-4E97-B9D6-1304DB5A84D8}"/>
            </c:ext>
          </c:extLst>
        </c:ser>
        <c:ser>
          <c:idx val="2"/>
          <c:order val="2"/>
          <c:tx>
            <c:strRef>
              <c:f>'10+_Unidades_2025'!$B$24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'10+_Unidades_2025'!$C$24</c:f>
              <c:numCache>
                <c:formatCode>0.00</c:formatCode>
                <c:ptCount val="1"/>
                <c:pt idx="0">
                  <c:v>5.3044037663021228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B-4E97-B9D6-1304DB5A84D8}"/>
            </c:ext>
          </c:extLst>
        </c:ser>
        <c:ser>
          <c:idx val="3"/>
          <c:order val="3"/>
          <c:tx>
            <c:strRef>
              <c:f>'10+_Unidades_2025'!$B$25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'10+_Unidades_2025'!$C$25</c:f>
              <c:numCache>
                <c:formatCode>0.00</c:formatCode>
                <c:ptCount val="1"/>
                <c:pt idx="0">
                  <c:v>5.6553014796186911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CB-4E97-B9D6-1304DB5A84D8}"/>
            </c:ext>
          </c:extLst>
        </c:ser>
        <c:ser>
          <c:idx val="4"/>
          <c:order val="4"/>
          <c:tx>
            <c:strRef>
              <c:f>'10+_Unidades_2025'!$B$26</c:f>
              <c:strCache>
                <c:ptCount val="1"/>
                <c:pt idx="0">
                  <c:v>São Paulo Transportes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'10+_Unidades_2025'!$C$26</c:f>
              <c:numCache>
                <c:formatCode>0.00</c:formatCode>
                <c:ptCount val="1"/>
                <c:pt idx="0">
                  <c:v>6.6787531434586818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CB-4E97-B9D6-1304DB5A84D8}"/>
            </c:ext>
          </c:extLst>
        </c:ser>
        <c:ser>
          <c:idx val="5"/>
          <c:order val="5"/>
          <c:tx>
            <c:strRef>
              <c:f>'10+_Unidades_2025'!$B$27</c:f>
              <c:strCache>
                <c:ptCount val="1"/>
                <c:pt idx="0">
                  <c:v>Companhia de Engenharia de Tráfego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'10+_Unidades_2025'!$C$27</c:f>
              <c:numCache>
                <c:formatCode>0.00</c:formatCode>
                <c:ptCount val="1"/>
                <c:pt idx="0">
                  <c:v>6.9594713141119362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CB-4E97-B9D6-1304DB5A84D8}"/>
            </c:ext>
          </c:extLst>
        </c:ser>
        <c:ser>
          <c:idx val="6"/>
          <c:order val="6"/>
          <c:tx>
            <c:strRef>
              <c:f>'10+_Unidades_2025'!$B$28</c:f>
              <c:strCache>
                <c:ptCount val="1"/>
                <c:pt idx="0">
                  <c:v>Secretaria Executiva de Limpeza Urbana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'10+_Unidades_2025'!$C$28</c:f>
              <c:numCache>
                <c:formatCode>0.00</c:formatCode>
                <c:ptCount val="1"/>
                <c:pt idx="0">
                  <c:v>6.9711679045558217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CB-4E97-B9D6-1304DB5A84D8}"/>
            </c:ext>
          </c:extLst>
        </c:ser>
        <c:ser>
          <c:idx val="7"/>
          <c:order val="7"/>
          <c:tx>
            <c:strRef>
              <c:f>'10+_Unidades_2025'!$B$29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'10+_Unidades_2025'!$C$29</c:f>
              <c:numCache>
                <c:formatCode>0.00</c:formatCode>
                <c:ptCount val="1"/>
                <c:pt idx="0">
                  <c:v>7.0238025615533068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CB-4E97-B9D6-1304DB5A84D8}"/>
            </c:ext>
          </c:extLst>
        </c:ser>
        <c:ser>
          <c:idx val="8"/>
          <c:order val="8"/>
          <c:tx>
            <c:strRef>
              <c:f>'10+_Unidades_2025'!$B$30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'10+_Unidades_2025'!$C$30</c:f>
              <c:numCache>
                <c:formatCode>0.00</c:formatCode>
                <c:ptCount val="1"/>
                <c:pt idx="0">
                  <c:v>9.3631206503304281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CB-4E97-B9D6-1304DB5A84D8}"/>
            </c:ext>
          </c:extLst>
        </c:ser>
        <c:ser>
          <c:idx val="9"/>
          <c:order val="9"/>
          <c:tx>
            <c:strRef>
              <c:f>'10+_Unidades_2025'!$B$31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spcCol="14400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'10+_Unidades_2025'!$C$31</c:f>
              <c:numCache>
                <c:formatCode>0.00</c:formatCode>
                <c:ptCount val="1"/>
                <c:pt idx="0">
                  <c:v>11.772618281770864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CB-4E97-B9D6-1304DB5A84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073809648"/>
        <c:axId val="1073810064"/>
      </c:barChart>
      <c:catAx>
        <c:axId val="10738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10064"/>
        <c:crosses val="autoZero"/>
        <c:auto val="1"/>
        <c:lblAlgn val="ctr"/>
        <c:lblOffset val="100"/>
        <c:noMultiLvlLbl val="0"/>
      </c:catAx>
      <c:valAx>
        <c:axId val="107381006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734438154191727"/>
          <c:y val="0.16048561092680569"/>
          <c:w val="0.37896903359670964"/>
          <c:h val="0.83753217569862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pt-BR" sz="120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anose="020B0604020202020204" pitchFamily="34" charset="0"/>
                <a:cs typeface="Arial" panose="020B0604020202020204" pitchFamily="34" charset="0"/>
              </a:rPr>
              <a:t>10 </a:t>
            </a:r>
            <a:r>
              <a:rPr lang="pt-BR" sz="1200" b="1" i="0" u="none" strike="noStrike" baseline="0"/>
              <a:t>Subprefeituras</a:t>
            </a: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anose="020B0604020202020204" pitchFamily="34" charset="0"/>
                <a:cs typeface="Arial" panose="020B0604020202020204" pitchFamily="34" charset="0"/>
              </a:rPr>
              <a:t> mais demandadas - </a:t>
            </a:r>
            <a:r>
              <a:rPr lang="pt-BR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[ Média Trimestral 2025]</a:t>
            </a: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pt-BR" sz="1200" b="1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bar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E4-4791-89AD-2564A192AF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E4-4791-89AD-2564A192AF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E4-4791-89AD-2564A192AF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E4-4791-89AD-2564A192AF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E4-4791-89AD-2564A192AF9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E4-4791-89AD-2564A192AF9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E4-4791-89AD-2564A192AF9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8E4-4791-89AD-2564A192AF9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E4-4791-89AD-2564A192AF9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8E4-4791-89AD-2564A192AF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'10+_Subprefeituras_2025'!$B$7:$B$16</c:f>
              <c:strCache>
                <c:ptCount val="10"/>
                <c:pt idx="0">
                  <c:v>Sé</c:v>
                </c:pt>
                <c:pt idx="1">
                  <c:v>Butantã</c:v>
                </c:pt>
                <c:pt idx="2">
                  <c:v>Ipiranga</c:v>
                </c:pt>
                <c:pt idx="3">
                  <c:v>Pirituba/Jaraguá</c:v>
                </c:pt>
                <c:pt idx="4">
                  <c:v>Lapa</c:v>
                </c:pt>
                <c:pt idx="5">
                  <c:v>Penha</c:v>
                </c:pt>
                <c:pt idx="6">
                  <c:v>Mooca</c:v>
                </c:pt>
                <c:pt idx="7">
                  <c:v>Pinheiros</c:v>
                </c:pt>
                <c:pt idx="8">
                  <c:v>Itaquera</c:v>
                </c:pt>
                <c:pt idx="9">
                  <c:v>Santana/Tucuruvi</c:v>
                </c:pt>
              </c:strCache>
            </c:strRef>
          </c:cat>
          <c:val>
            <c:numRef>
              <c:f>'10+_Subprefeituras_2025'!$H$7:$H$16</c:f>
              <c:numCache>
                <c:formatCode>0</c:formatCode>
                <c:ptCount val="10"/>
                <c:pt idx="0">
                  <c:v>336.5</c:v>
                </c:pt>
                <c:pt idx="1">
                  <c:v>256</c:v>
                </c:pt>
                <c:pt idx="2">
                  <c:v>208.5</c:v>
                </c:pt>
                <c:pt idx="3">
                  <c:v>204.5</c:v>
                </c:pt>
                <c:pt idx="4">
                  <c:v>202.5</c:v>
                </c:pt>
                <c:pt idx="5">
                  <c:v>178.5</c:v>
                </c:pt>
                <c:pt idx="6">
                  <c:v>172.5</c:v>
                </c:pt>
                <c:pt idx="7">
                  <c:v>163.5</c:v>
                </c:pt>
                <c:pt idx="8">
                  <c:v>161.5</c:v>
                </c:pt>
                <c:pt idx="9">
                  <c:v>160.5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E4-4791-89AD-2564A192A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t"/>
        <c:majorGridlines>
          <c:spPr>
            <a:ln w="634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axMin"/>
        </c:scaling>
        <c:delete val="0"/>
        <c:axPos val="l"/>
        <c:majorGridlines>
          <c:spPr>
            <a:ln w="634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6345" cap="flat" cmpd="sng" algn="ctr">
      <a:solidFill>
        <a:schemeClr val="tx2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23282</xdr:colOff>
      <xdr:row>11</xdr:row>
      <xdr:rowOff>56092</xdr:rowOff>
    </xdr:from>
    <xdr:to>
      <xdr:col>7</xdr:col>
      <xdr:colOff>809625</xdr:colOff>
      <xdr:row>28</xdr:row>
      <xdr:rowOff>86784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29309E-BE00-4257-BEE9-C6BF0C831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146843</xdr:colOff>
      <xdr:row>13</xdr:row>
      <xdr:rowOff>124354</xdr:rowOff>
    </xdr:from>
    <xdr:to>
      <xdr:col>10</xdr:col>
      <xdr:colOff>423333</xdr:colOff>
      <xdr:row>37</xdr:row>
      <xdr:rowOff>102924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A029D9-DF3C-1E4E-C81F-868706477E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12096</xdr:colOff>
      <xdr:row>17</xdr:row>
      <xdr:rowOff>72570</xdr:rowOff>
    </xdr:from>
    <xdr:ext cx="8646583" cy="4476749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CDFE141-A160-49E0-A7C5-B833107C7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10</xdr:col>
      <xdr:colOff>84666</xdr:colOff>
      <xdr:row>5</xdr:row>
      <xdr:rowOff>21168</xdr:rowOff>
    </xdr:from>
    <xdr:to>
      <xdr:col>18</xdr:col>
      <xdr:colOff>275166</xdr:colOff>
      <xdr:row>17</xdr:row>
      <xdr:rowOff>105834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130026</xdr:colOff>
      <xdr:row>17</xdr:row>
      <xdr:rowOff>177344</xdr:rowOff>
    </xdr:from>
    <xdr:to>
      <xdr:col>18</xdr:col>
      <xdr:colOff>275167</xdr:colOff>
      <xdr:row>32</xdr:row>
      <xdr:rowOff>229809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571499</xdr:colOff>
      <xdr:row>17</xdr:row>
      <xdr:rowOff>192356</xdr:rowOff>
    </xdr:from>
    <xdr:ext cx="8900584" cy="44960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693580-9F95-4643-B1BD-49EA39B94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9</xdr:col>
      <xdr:colOff>95249</xdr:colOff>
      <xdr:row>4</xdr:row>
      <xdr:rowOff>232833</xdr:rowOff>
    </xdr:from>
    <xdr:to>
      <xdr:col>17</xdr:col>
      <xdr:colOff>598714</xdr:colOff>
      <xdr:row>17</xdr:row>
      <xdr:rowOff>21166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116415</xdr:colOff>
      <xdr:row>17</xdr:row>
      <xdr:rowOff>158750</xdr:rowOff>
    </xdr:from>
    <xdr:to>
      <xdr:col>18</xdr:col>
      <xdr:colOff>13607</xdr:colOff>
      <xdr:row>35</xdr:row>
      <xdr:rowOff>242965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17</xdr:row>
      <xdr:rowOff>160604</xdr:rowOff>
    </xdr:from>
    <xdr:ext cx="7471834" cy="437964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693580-9F95-4643-B1BD-49EA39B94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9</xdr:col>
      <xdr:colOff>95249</xdr:colOff>
      <xdr:row>4</xdr:row>
      <xdr:rowOff>232833</xdr:rowOff>
    </xdr:from>
    <xdr:to>
      <xdr:col>18</xdr:col>
      <xdr:colOff>280459</xdr:colOff>
      <xdr:row>17</xdr:row>
      <xdr:rowOff>21166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116415</xdr:colOff>
      <xdr:row>17</xdr:row>
      <xdr:rowOff>127000</xdr:rowOff>
    </xdr:from>
    <xdr:to>
      <xdr:col>18</xdr:col>
      <xdr:colOff>306913</xdr:colOff>
      <xdr:row>35</xdr:row>
      <xdr:rowOff>211215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ipos_de_Manifestação" displayName="Tipos_de_Manifestação" ref="A4:H11" totalsRowShown="0" headerRowDxfId="120" dataDxfId="119">
  <autoFilter ref="A4:H11" xr:uid="{00000000-0009-0000-0100-000002000000}"/>
  <sortState xmlns:xlrd2="http://schemas.microsoft.com/office/spreadsheetml/2017/richdata2" ref="A5:G11">
    <sortCondition descending="1" ref="G5:G11"/>
  </sortState>
  <tableColumns count="8">
    <tableColumn id="1" xr3:uid="{00000000-0010-0000-0000-000001000000}" name="Tipos de Manifestação" dataDxfId="118"/>
    <tableColumn id="2" xr3:uid="{00000000-0010-0000-0000-000002000000}" name="1º Trimestre de 2025" dataDxfId="117"/>
    <tableColumn id="3" xr3:uid="{00000000-0010-0000-0000-000003000000}" name="2º Trimestre de 2025" dataDxfId="116"/>
    <tableColumn id="4" xr3:uid="{00000000-0010-0000-0000-000004000000}" name="3º Trimestre de 2025" dataDxfId="115"/>
    <tableColumn id="5" xr3:uid="{00000000-0010-0000-0000-000005000000}" name="4º Trimestre de 2025" dataDxfId="114"/>
    <tableColumn id="6" xr3:uid="{00000000-0010-0000-0000-000006000000}" name="Total" dataDxfId="113">
      <calculatedColumnFormula>SUM(Tipos_de_Manifestação[[#This Row],[1º Trimestre de 2025]:[4º Trimestre de 2025]])</calculatedColumnFormula>
    </tableColumn>
    <tableColumn id="7" xr3:uid="{00000000-0010-0000-0000-000007000000}" name="Média" dataDxfId="112">
      <calculatedColumnFormula>AVERAGE(Tipos_de_Manifestação[[#This Row],[1º Trimestre de 2025]:[4º Trimestre de 2025]])</calculatedColumnFormula>
    </tableColumn>
    <tableColumn id="8" xr3:uid="{00000000-0010-0000-0000-000008000000}" name="%Total" dataDxfId="111">
      <calculatedColumnFormula>F5/F$11*100</calculatedColumnFormula>
    </tableColumn>
  </tableColumns>
  <tableStyleInfo name="TableStyleLight9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otal_Protocolos" displayName="Total_Protocolos" ref="J4:L9" totalsRowShown="0" headerRowDxfId="110" dataDxfId="109">
  <autoFilter ref="J4:L9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100-000001000000}" name="Trimestres" dataDxfId="108"/>
    <tableColumn id="2" xr3:uid="{00000000-0010-0000-0100-000002000000}" name="protocolos" dataDxfId="107"/>
    <tableColumn id="3" xr3:uid="{00000000-0010-0000-0100-000003000000}" name="variação**" dataDxfId="106">
      <calculatedColumnFormula>(K5-K4)*100/K4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Canais_Atendimento" displayName="Canais_Atendimento" ref="A4:L13" headerRowDxfId="105" dataDxfId="104">
  <autoFilter ref="A4:L13" xr:uid="{00000000-0009-0000-0100-000001000000}"/>
  <sortState xmlns:xlrd2="http://schemas.microsoft.com/office/spreadsheetml/2017/richdata2" ref="A5:H13">
    <sortCondition descending="1" ref="F4:F13"/>
  </sortState>
  <tableColumns count="12">
    <tableColumn id="1" xr3:uid="{00000000-0010-0000-0200-000001000000}" name="ATENDIMENTOS" totalsRowLabel="Total" dataDxfId="102" totalsRowDxfId="103"/>
    <tableColumn id="2" xr3:uid="{00000000-0010-0000-0200-000002000000}" name="1° trim 2025" dataDxfId="100" totalsRowDxfId="101"/>
    <tableColumn id="3" xr3:uid="{00000000-0010-0000-0200-000003000000}" name="2° trim 2025" dataDxfId="98" totalsRowDxfId="99"/>
    <tableColumn id="4" xr3:uid="{00000000-0010-0000-0200-000004000000}" name="3° trim 2025" dataDxfId="96" totalsRowDxfId="97"/>
    <tableColumn id="5" xr3:uid="{00000000-0010-0000-0200-000005000000}" name="4° trim 2025" dataDxfId="94" totalsRowDxfId="95"/>
    <tableColumn id="14" xr3:uid="{00000000-0010-0000-0200-00000E000000}" name="Total" dataDxfId="92" totalsRowDxfId="93"/>
    <tableColumn id="15" xr3:uid="{00000000-0010-0000-0200-00000F000000}" name="Média" dataDxfId="90" totalsRowDxfId="91"/>
    <tableColumn id="16" xr3:uid="{00000000-0010-0000-0200-000010000000}" name="%Total" dataDxfId="88" totalsRowDxfId="89">
      <calculatedColumnFormula>F5/F$13*100</calculatedColumnFormula>
    </tableColumn>
    <tableColumn id="6" xr3:uid="{683E3499-B785-4B62-B6F9-42E8B9844570}" name="Variação % T1 vs T2 2025" totalsRowFunction="count" dataDxfId="86" totalsRowDxfId="87">
      <calculatedColumnFormula>(Canais_Atendimento[[#This Row],[2° trim 2025]]-Canais_Atendimento[[#This Row],[1° trim 2025]])/Canais_Atendimento[[#This Row],[1° trim 2025]]</calculatedColumnFormula>
    </tableColumn>
    <tableColumn id="8" xr3:uid="{2A8ECD34-2CDC-4FCC-ABC3-1926CBA7686D}" name="Variação % T2 vs T3 2025" dataDxfId="84" totalsRowDxfId="85"/>
    <tableColumn id="9" xr3:uid="{4F40A374-2BBB-4243-87FF-53197D0B5E45}" name="Variação % T3 vs T4 2025" dataDxfId="82" totalsRowDxfId="83"/>
    <tableColumn id="10" xr3:uid="{4775C58E-1FA7-4396-907F-06D183ABD90F}" name="Variação % Acumulada 2025 (T4 vs T1)" dataDxfId="80" totalsRowDxfId="81"/>
  </tableColumns>
  <tableStyleInfo name="TableStyleLight9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Assuntos_10mais" displayName="Assuntos_10mais" ref="B6:I17" totalsRowShown="0" headerRowDxfId="79">
  <autoFilter ref="B6:I17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300-000001000000}" name="ASSUNTO (Guia Portal 156)*" dataDxfId="78"/>
    <tableColumn id="2" xr3:uid="{00000000-0010-0000-0300-000002000000}" name="1° trim 2025" dataDxfId="77"/>
    <tableColumn id="3" xr3:uid="{00000000-0010-0000-0300-000003000000}" name="2° trim 2025" dataDxfId="76"/>
    <tableColumn id="4" xr3:uid="{00000000-0010-0000-0300-000004000000}" name="3° trim 2025" dataDxfId="75"/>
    <tableColumn id="5" xr3:uid="{00000000-0010-0000-0300-000005000000}" name="4° trim 2025" dataDxfId="74"/>
    <tableColumn id="6" xr3:uid="{00000000-0010-0000-0300-000006000000}" name="Total" dataDxfId="73"/>
    <tableColumn id="7" xr3:uid="{00000000-0010-0000-0300-000007000000}" name="Média" dataDxfId="72">
      <calculatedColumnFormula>AVERAGE(C7:F7)</calculatedColumnFormula>
    </tableColumn>
    <tableColumn id="8" xr3:uid="{00000000-0010-0000-0300-000008000000}" name="% em relação ao todo 2° trim 2025 (excetuando-se denúncias)" dataDxfId="71">
      <calculatedColumnFormula>(D7*100)/$I$1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Assuntos_2025" displayName="Assuntos_2025" ref="A4:H252" totalsRowCount="1" headerRowDxfId="70" dataDxfId="69" totalsRowDxfId="68">
  <autoFilter ref="A4:H251" xr:uid="{00000000-0009-0000-0100-000006000000}"/>
  <sortState xmlns:xlrd2="http://schemas.microsoft.com/office/spreadsheetml/2017/richdata2" ref="A5:H251">
    <sortCondition ref="A4:A251"/>
  </sortState>
  <tableColumns count="8">
    <tableColumn id="1" xr3:uid="{00000000-0010-0000-0400-000001000000}" name="ASSUNTO (Guia Portal 156)*" totalsRowLabel="Total" dataDxfId="66" totalsRowDxfId="67"/>
    <tableColumn id="2" xr3:uid="{00000000-0010-0000-0400-000002000000}" name="1° trim 2025" totalsRowFunction="sum" dataDxfId="64" totalsRowDxfId="65"/>
    <tableColumn id="3" xr3:uid="{00000000-0010-0000-0400-000003000000}" name="2° trim 2025" totalsRowFunction="sum" dataDxfId="62" totalsRowDxfId="63"/>
    <tableColumn id="4" xr3:uid="{00000000-0010-0000-0400-000004000000}" name="3° trim 2025" dataDxfId="60" totalsRowDxfId="61"/>
    <tableColumn id="5" xr3:uid="{00000000-0010-0000-0400-000005000000}" name="4° trim 2025" dataDxfId="58" totalsRowDxfId="59"/>
    <tableColumn id="6" xr3:uid="{00000000-0010-0000-0400-000006000000}" name="Total" totalsRowFunction="sum" dataDxfId="56" totalsRowDxfId="57" dataCellStyle="Normal 2 21">
      <calculatedColumnFormula>SUM(B5:E5)</calculatedColumnFormula>
    </tableColumn>
    <tableColumn id="7" xr3:uid="{00000000-0010-0000-0400-000007000000}" name="Média" totalsRowFunction="sum" dataDxfId="54" totalsRowDxfId="55">
      <calculatedColumnFormula>AVERAGE(B5:E5)</calculatedColumnFormula>
    </tableColumn>
    <tableColumn id="8" xr3:uid="{00000000-0010-0000-0400-000008000000}" name="% Total" totalsRowFunction="sum" dataDxfId="52" totalsRowDxfId="53" dataCellStyle="Normal 2 21">
      <calculatedColumnFormula>(F5/$F$252)*100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Unidades_10mais" displayName="Unidades_10mais" ref="B6:I17" totalsRowShown="0" headerRowDxfId="51" dataDxfId="50">
  <autoFilter ref="B6:I17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500-000001000000}" name="Unidades PMSP*" dataDxfId="49"/>
    <tableColumn id="2" xr3:uid="{00000000-0010-0000-0500-000002000000}" name="1° trim 2025" dataDxfId="48"/>
    <tableColumn id="3" xr3:uid="{00000000-0010-0000-0500-000003000000}" name="2° trim 2025" dataDxfId="47"/>
    <tableColumn id="4" xr3:uid="{00000000-0010-0000-0500-000004000000}" name="3° trim 2025" dataDxfId="46"/>
    <tableColumn id="5" xr3:uid="{00000000-0010-0000-0500-000005000000}" name="4° trim 2025" dataDxfId="45"/>
    <tableColumn id="6" xr3:uid="{00000000-0010-0000-0500-000006000000}" name="Total" dataDxfId="44"/>
    <tableColumn id="7" xr3:uid="{00000000-0010-0000-0500-000007000000}" name="Média" dataDxfId="43">
      <calculatedColumnFormula>AVERAGE(C7:F7)</calculatedColumnFormula>
    </tableColumn>
    <tableColumn id="8" xr3:uid="{00000000-0010-0000-0500-000008000000}" name="% em relação ao todo 2 ° trim 2025 (excetuando-se denúncias)" dataDxfId="42">
      <calculatedColumnFormula>(D7*100)/$I$1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Unidades_2025" displayName="Unidades_2025" ref="A4:H71" totalsRowCount="1" headerRowDxfId="41" dataDxfId="40" totalsRowDxfId="39">
  <autoFilter ref="A4:H70" xr:uid="{00000000-0009-0000-0100-000008000000}"/>
  <sortState xmlns:xlrd2="http://schemas.microsoft.com/office/spreadsheetml/2017/richdata2" ref="A5:H70">
    <sortCondition ref="A4:A70"/>
  </sortState>
  <tableColumns count="8">
    <tableColumn id="1" xr3:uid="{00000000-0010-0000-0600-000001000000}" name="Unidades PMSP*" totalsRowLabel="Total" dataDxfId="37" totalsRowDxfId="38"/>
    <tableColumn id="2" xr3:uid="{00000000-0010-0000-0600-000002000000}" name="1° trim 2025" totalsRowFunction="sum" dataDxfId="35" totalsRowDxfId="36"/>
    <tableColumn id="3" xr3:uid="{00000000-0010-0000-0600-000003000000}" name="2° trim 2025" totalsRowFunction="sum" dataDxfId="33" totalsRowDxfId="34"/>
    <tableColumn id="4" xr3:uid="{00000000-0010-0000-0600-000004000000}" name="3° trim 2025" dataDxfId="31" totalsRowDxfId="32"/>
    <tableColumn id="5" xr3:uid="{00000000-0010-0000-0600-000005000000}" name="4° trim 2025" dataDxfId="29" totalsRowDxfId="30"/>
    <tableColumn id="6" xr3:uid="{00000000-0010-0000-0600-000006000000}" name="Total" totalsRowFunction="sum" dataDxfId="27" totalsRowDxfId="28"/>
    <tableColumn id="7" xr3:uid="{00000000-0010-0000-0600-000007000000}" name="Média" totalsRowFunction="sum" dataDxfId="25" totalsRowDxfId="26">
      <calculatedColumnFormula>AVERAGE(B5:E5)</calculatedColumnFormula>
    </tableColumn>
    <tableColumn id="8" xr3:uid="{00000000-0010-0000-0600-000008000000}" name="% Total" totalsRowFunction="sum" dataDxfId="23" totalsRowDxfId="24">
      <calculatedColumnFormula>(F5/$F$71)*100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Subprefeituras_10mais" displayName="Subprefeituras_10mais" ref="B6:I17" totalsRowShown="0" headerRowDxfId="22" dataDxfId="21">
  <autoFilter ref="B6:I17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700-000001000000}" name="Subprefeituras PMSP*" dataDxfId="20"/>
    <tableColumn id="2" xr3:uid="{00000000-0010-0000-0700-000002000000}" name="1° trim 2025" dataDxfId="19"/>
    <tableColumn id="3" xr3:uid="{00000000-0010-0000-0700-000003000000}" name="2° trim 2025" dataDxfId="18"/>
    <tableColumn id="4" xr3:uid="{00000000-0010-0000-0700-000004000000}" name="3° trim 2025" dataDxfId="17"/>
    <tableColumn id="5" xr3:uid="{00000000-0010-0000-0700-000005000000}" name="4° trim 2025" dataDxfId="16"/>
    <tableColumn id="6" xr3:uid="{00000000-0010-0000-0700-000006000000}" name="Total" dataDxfId="15"/>
    <tableColumn id="7" xr3:uid="{00000000-0010-0000-0700-000007000000}" name="Média" dataDxfId="14">
      <calculatedColumnFormula>AVERAGE(C7:F7)</calculatedColumnFormula>
    </tableColumn>
    <tableColumn id="8" xr3:uid="{00000000-0010-0000-0700-000008000000}" name="% em relação ao total de Subs 2° trim 2025 (excetuando-se denúncias)" dataDxfId="13">
      <calculatedColumnFormula>(D7*100)/$I$1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Subprefeituras_2025" displayName="Subprefeituras_2025" ref="A4:H37" totalsRowCount="1" headerRowDxfId="12" dataDxfId="11" totalsRowDxfId="10">
  <autoFilter ref="A4:H36" xr:uid="{00000000-0009-0000-0100-000009000000}"/>
  <sortState xmlns:xlrd2="http://schemas.microsoft.com/office/spreadsheetml/2017/richdata2" ref="A5:H36">
    <sortCondition ref="A4:A36"/>
  </sortState>
  <tableColumns count="8">
    <tableColumn id="1" xr3:uid="{00000000-0010-0000-0800-000001000000}" name="Subprefeituras PMSP*" totalsRowLabel="Total" dataDxfId="8" totalsRowDxfId="9"/>
    <tableColumn id="2" xr3:uid="{00000000-0010-0000-0800-000002000000}" name="1° trim 2025" totalsRowFunction="sum" totalsRowDxfId="7"/>
    <tableColumn id="3" xr3:uid="{00000000-0010-0000-0800-000003000000}" name="2° trim 2025" totalsRowFunction="sum" totalsRowDxfId="6"/>
    <tableColumn id="4" xr3:uid="{00000000-0010-0000-0800-000004000000}" name="3° trim 2025" totalsRowDxfId="5"/>
    <tableColumn id="5" xr3:uid="{00000000-0010-0000-0800-000005000000}" name="4° trim 2025" totalsRowDxfId="4"/>
    <tableColumn id="6" xr3:uid="{00000000-0010-0000-0800-000006000000}" name="Total" totalsRowFunction="sum" totalsRowDxfId="3"/>
    <tableColumn id="7" xr3:uid="{00000000-0010-0000-0800-000007000000}" name="Média" totalsRowFunction="sum" totalsRowDxfId="2">
      <calculatedColumnFormula>AVERAGE(B5:E5)</calculatedColumnFormula>
    </tableColumn>
    <tableColumn id="8" xr3:uid="{00000000-0010-0000-0800-000008000000}" name="% Total dentre as subprefeituras" totalsRowFunction="sum" dataDxfId="0" totalsRowDxfId="1">
      <calculatedColumnFormula>(F5/$F$37)*100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apital.sp.gov.br/web/ouvidoria/w/relatorios_mensais/144782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apital.sp.gov.br/web/ouvidoria/w/relatorios_mensais/14478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apital.sp.gov.br/web/ouvidoria/w/relatorios_mensais/144782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apital.sp.gov.br/web/ouvidoria/w/relatorios_mensais/14478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apital.sp.gov.br/web/ouvidoria/w/relatorios_mensais/144782" TargetMode="Externa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hyperlink" Target="https://capital.sp.gov.br/web/ouvidoria/w/relatorios_mensais/1447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GridLines="0" tabSelected="1" zoomScale="90" zoomScaleNormal="90" workbookViewId="0">
      <selection activeCell="K13" sqref="K13"/>
    </sheetView>
  </sheetViews>
  <sheetFormatPr defaultRowHeight="15"/>
  <cols>
    <col min="1" max="1" width="22.5703125" style="16" customWidth="1"/>
    <col min="2" max="2" width="19.5703125" style="16" bestFit="1" customWidth="1"/>
    <col min="3" max="3" width="19.28515625" style="16" customWidth="1"/>
    <col min="4" max="5" width="19.5703125" style="16" bestFit="1" customWidth="1"/>
    <col min="6" max="6" width="17" style="16" bestFit="1" customWidth="1"/>
    <col min="7" max="7" width="8.42578125" style="16" bestFit="1" customWidth="1"/>
    <col min="8" max="8" width="13.140625" style="16" customWidth="1"/>
    <col min="9" max="9" width="6.5703125" style="16" customWidth="1"/>
    <col min="10" max="11" width="13.7109375" style="16" customWidth="1"/>
    <col min="12" max="12" width="12.7109375" style="16" customWidth="1"/>
    <col min="13" max="29" width="6.5703125" style="16" customWidth="1"/>
    <col min="30" max="57" width="6.7109375" style="16" customWidth="1"/>
    <col min="58" max="88" width="7.28515625" style="16" customWidth="1"/>
    <col min="89" max="89" width="10.7109375" style="16" customWidth="1"/>
    <col min="90" max="90" width="7.28515625" style="16" customWidth="1"/>
    <col min="91" max="91" width="10.7109375" style="16" bestFit="1" customWidth="1"/>
    <col min="92" max="16384" width="9.140625" style="16"/>
  </cols>
  <sheetData>
    <row r="1" spans="1:12">
      <c r="A1" s="1" t="s">
        <v>0</v>
      </c>
      <c r="B1" s="1"/>
    </row>
    <row r="2" spans="1:12">
      <c r="A2" s="1" t="s">
        <v>1</v>
      </c>
      <c r="B2" s="1"/>
      <c r="K2" s="28" t="s">
        <v>2</v>
      </c>
      <c r="L2" s="29">
        <v>16030</v>
      </c>
    </row>
    <row r="4" spans="1:12" ht="42.75" customHeight="1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J4" s="13" t="s">
        <v>11</v>
      </c>
      <c r="K4" s="13" t="s">
        <v>12</v>
      </c>
      <c r="L4" s="13" t="s">
        <v>13</v>
      </c>
    </row>
    <row r="5" spans="1:12">
      <c r="A5" s="17" t="s">
        <v>14</v>
      </c>
      <c r="B5" s="21">
        <v>17947</v>
      </c>
      <c r="C5" s="21">
        <v>15964</v>
      </c>
      <c r="D5" s="21"/>
      <c r="E5" s="21"/>
      <c r="F5" s="21">
        <f>SUM(Tipos_de_Manifestação[[#This Row],[1º Trimestre de 2025]:[4º Trimestre de 2025]])</f>
        <v>33911</v>
      </c>
      <c r="G5" s="21">
        <f>AVERAGE(Tipos_de_Manifestação[[#This Row],[1º Trimestre de 2025]:[4º Trimestre de 2025]])</f>
        <v>16955.5</v>
      </c>
      <c r="H5" s="30">
        <f t="shared" ref="H5:H11" si="0">F5/F$11*100</f>
        <v>88.156081836379229</v>
      </c>
      <c r="J5" s="5" t="s">
        <v>15</v>
      </c>
      <c r="K5" s="23">
        <v>20233</v>
      </c>
      <c r="L5" s="27">
        <v>26.22</v>
      </c>
    </row>
    <row r="6" spans="1:12">
      <c r="A6" s="18" t="s">
        <v>16</v>
      </c>
      <c r="B6" s="21">
        <v>1054</v>
      </c>
      <c r="C6" s="21">
        <v>1135</v>
      </c>
      <c r="D6" s="21"/>
      <c r="E6" s="21"/>
      <c r="F6" s="21">
        <f>SUM(Tipos_de_Manifestação[[#This Row],[1º Trimestre de 2025]:[4º Trimestre de 2025]])</f>
        <v>2189</v>
      </c>
      <c r="G6" s="21">
        <f>AVERAGE(Tipos_de_Manifestação[[#This Row],[1º Trimestre de 2025]:[4º Trimestre de 2025]])</f>
        <v>1094.5</v>
      </c>
      <c r="H6" s="24">
        <f t="shared" si="0"/>
        <v>5.690591935945096</v>
      </c>
      <c r="J6" s="5" t="s">
        <v>17</v>
      </c>
      <c r="K6" s="131">
        <v>18234</v>
      </c>
      <c r="L6" s="44">
        <f>(K6-K5)*100/K5</f>
        <v>-9.8798991746157263</v>
      </c>
    </row>
    <row r="7" spans="1:12">
      <c r="A7" s="17" t="s">
        <v>18</v>
      </c>
      <c r="B7" s="21">
        <v>738</v>
      </c>
      <c r="C7" s="21">
        <v>732</v>
      </c>
      <c r="D7" s="21"/>
      <c r="E7" s="21"/>
      <c r="F7" s="21">
        <f>SUM(Tipos_de_Manifestação[[#This Row],[1º Trimestre de 2025]:[4º Trimestre de 2025]])</f>
        <v>1470</v>
      </c>
      <c r="G7" s="21">
        <f>AVERAGE(Tipos_de_Manifestação[[#This Row],[1º Trimestre de 2025]:[4º Trimestre de 2025]])</f>
        <v>735</v>
      </c>
      <c r="H7" s="24">
        <f t="shared" si="0"/>
        <v>3.821457353055866</v>
      </c>
      <c r="J7" s="5" t="s">
        <v>19</v>
      </c>
      <c r="K7" s="26">
        <v>0</v>
      </c>
      <c r="L7" s="25">
        <f>(K7-K6)*100/K6</f>
        <v>-100</v>
      </c>
    </row>
    <row r="8" spans="1:12">
      <c r="A8" s="17" t="s">
        <v>20</v>
      </c>
      <c r="B8" s="21">
        <v>275</v>
      </c>
      <c r="C8" s="21">
        <v>247</v>
      </c>
      <c r="D8" s="21"/>
      <c r="E8" s="21"/>
      <c r="F8" s="21">
        <f>SUM(Tipos_de_Manifestação[[#This Row],[1º Trimestre de 2025]:[4º Trimestre de 2025]])</f>
        <v>522</v>
      </c>
      <c r="G8" s="21">
        <f>AVERAGE(Tipos_de_Manifestação[[#This Row],[1º Trimestre de 2025]:[4º Trimestre de 2025]])</f>
        <v>261</v>
      </c>
      <c r="H8" s="24">
        <f t="shared" si="0"/>
        <v>1.3570073049626954</v>
      </c>
      <c r="J8" s="5" t="s">
        <v>21</v>
      </c>
      <c r="K8" s="26">
        <v>0</v>
      </c>
      <c r="L8" s="25" t="e">
        <f>(K8-K7)*100/K7</f>
        <v>#DIV/0!</v>
      </c>
    </row>
    <row r="9" spans="1:12">
      <c r="A9" s="17" t="s">
        <v>22</v>
      </c>
      <c r="B9" s="21">
        <v>219</v>
      </c>
      <c r="C9" s="21">
        <v>156</v>
      </c>
      <c r="D9" s="21"/>
      <c r="E9" s="21"/>
      <c r="F9" s="21">
        <f>SUM(Tipos_de_Manifestação[[#This Row],[1º Trimestre de 2025]:[4º Trimestre de 2025]])</f>
        <v>375</v>
      </c>
      <c r="G9" s="21">
        <f>AVERAGE(Tipos_de_Manifestação[[#This Row],[1º Trimestre de 2025]:[4º Trimestre de 2025]])</f>
        <v>187.5</v>
      </c>
      <c r="H9" s="24">
        <f t="shared" si="0"/>
        <v>0.9748615696571088</v>
      </c>
      <c r="J9" s="132" t="s">
        <v>8</v>
      </c>
      <c r="K9" s="85">
        <f>SUM(K5:K8)</f>
        <v>38467</v>
      </c>
      <c r="L9" s="85"/>
    </row>
    <row r="10" spans="1:12" ht="29.25">
      <c r="A10" s="19" t="s">
        <v>23</v>
      </c>
      <c r="B10" s="21">
        <v>0</v>
      </c>
      <c r="C10" s="21">
        <v>0</v>
      </c>
      <c r="D10" s="21"/>
      <c r="E10" s="21"/>
      <c r="F10" s="21">
        <f>SUM(Tipos_de_Manifestação[[#This Row],[1º Trimestre de 2025]:[4º Trimestre de 2025]])</f>
        <v>0</v>
      </c>
      <c r="G10" s="21">
        <f>AVERAGE(Tipos_de_Manifestação[[#This Row],[1º Trimestre de 2025]:[4º Trimestre de 2025]])</f>
        <v>0</v>
      </c>
      <c r="H10" s="24">
        <f t="shared" si="0"/>
        <v>0</v>
      </c>
      <c r="J10" s="22"/>
      <c r="K10" s="130"/>
      <c r="L10"/>
    </row>
    <row r="11" spans="1:12">
      <c r="A11" s="84" t="s">
        <v>8</v>
      </c>
      <c r="B11" s="85">
        <f>SUM(B5:B10)</f>
        <v>20233</v>
      </c>
      <c r="C11" s="85">
        <f>SUM(C5:C10)</f>
        <v>18234</v>
      </c>
      <c r="D11" s="85"/>
      <c r="E11" s="85"/>
      <c r="F11" s="85">
        <f>SUM(Tipos_de_Manifestação[[#This Row],[1º Trimestre de 2025]:[4º Trimestre de 2025]])</f>
        <v>38467</v>
      </c>
      <c r="G11" s="85">
        <f>AVERAGE(Tipos_de_Manifestação[[#This Row],[1º Trimestre de 2025]:[4º Trimestre de 2025]])</f>
        <v>19233.5</v>
      </c>
      <c r="H11" s="86">
        <f t="shared" si="0"/>
        <v>100</v>
      </c>
    </row>
    <row r="13" spans="1:12">
      <c r="A13" s="125"/>
      <c r="B13" s="14"/>
      <c r="C13" s="14"/>
      <c r="D13" s="14"/>
      <c r="E13" s="14"/>
      <c r="F13" s="14"/>
      <c r="G13" s="14"/>
      <c r="H13" s="14"/>
      <c r="I13" s="129"/>
      <c r="J13" s="129"/>
    </row>
    <row r="14" spans="1:12">
      <c r="A14" s="1"/>
      <c r="B14" s="12"/>
      <c r="C14" s="12"/>
      <c r="D14" s="5"/>
      <c r="E14" s="128"/>
      <c r="F14" s="5"/>
      <c r="G14" s="5"/>
      <c r="H14" s="22"/>
      <c r="I14" s="127"/>
      <c r="J14" s="62"/>
    </row>
    <row r="15" spans="1:12">
      <c r="A15" s="1"/>
      <c r="B15" s="12"/>
      <c r="C15" s="12"/>
      <c r="D15" s="5"/>
      <c r="E15" s="128"/>
      <c r="F15" s="5"/>
      <c r="G15" s="5"/>
      <c r="H15" s="22"/>
      <c r="I15" s="127"/>
      <c r="J15" s="62"/>
    </row>
    <row r="16" spans="1:12" ht="19.5" customHeight="1">
      <c r="A16" s="126"/>
      <c r="B16" s="12"/>
      <c r="C16" s="12"/>
      <c r="D16" s="5"/>
      <c r="E16" s="128"/>
      <c r="F16" s="5"/>
      <c r="G16" s="5"/>
      <c r="H16" s="22"/>
      <c r="I16" s="127"/>
      <c r="J16" s="62"/>
    </row>
    <row r="17" spans="1:10">
      <c r="A17" s="1"/>
      <c r="B17" s="12"/>
      <c r="C17" s="12"/>
      <c r="D17" s="5"/>
      <c r="E17" s="128"/>
      <c r="F17" s="5"/>
      <c r="G17" s="5"/>
      <c r="H17" s="22"/>
      <c r="I17" s="127"/>
      <c r="J17" s="62"/>
    </row>
    <row r="18" spans="1:10">
      <c r="A18" s="1"/>
      <c r="B18" s="12"/>
      <c r="C18" s="12"/>
      <c r="D18" s="5"/>
      <c r="E18" s="128"/>
      <c r="F18" s="5"/>
      <c r="G18" s="5"/>
      <c r="H18" s="22"/>
      <c r="I18" s="127"/>
      <c r="J18" s="62"/>
    </row>
    <row r="19" spans="1:10">
      <c r="A19" s="1"/>
      <c r="B19" s="12"/>
      <c r="C19" s="12"/>
      <c r="D19" s="5"/>
      <c r="E19" s="128"/>
      <c r="F19" s="5"/>
      <c r="G19" s="5"/>
      <c r="H19" s="22"/>
      <c r="I19" s="127"/>
      <c r="J19" s="62"/>
    </row>
    <row r="20" spans="1:10">
      <c r="A20" s="3"/>
      <c r="B20" s="13"/>
      <c r="C20" s="13"/>
      <c r="D20" s="13"/>
      <c r="E20" s="13"/>
      <c r="F20" s="13"/>
      <c r="G20" s="13"/>
      <c r="H20" s="22"/>
      <c r="I20" s="13"/>
      <c r="J20" s="62"/>
    </row>
    <row r="21" spans="1:10">
      <c r="A21" s="3"/>
      <c r="B21" s="13"/>
      <c r="C21" s="13"/>
      <c r="D21" s="13"/>
      <c r="E21" s="13"/>
      <c r="F21" s="13"/>
      <c r="G21" s="13"/>
      <c r="H21" s="22"/>
      <c r="I21" s="13"/>
      <c r="J21" s="62"/>
    </row>
    <row r="22" spans="1:10">
      <c r="A22" s="3"/>
      <c r="B22" s="13"/>
      <c r="C22" s="13"/>
      <c r="D22" s="13"/>
      <c r="E22" s="13"/>
      <c r="F22" s="13"/>
      <c r="G22" s="13"/>
      <c r="H22" s="22"/>
      <c r="I22" s="13"/>
      <c r="J22" s="62"/>
    </row>
    <row r="23" spans="1:10">
      <c r="A23" s="3"/>
      <c r="B23" s="13"/>
      <c r="C23" s="13"/>
      <c r="D23" s="13"/>
      <c r="E23" s="13"/>
      <c r="F23" s="13"/>
      <c r="G23" s="13"/>
      <c r="H23" s="22"/>
      <c r="I23" s="13"/>
      <c r="J23" s="62"/>
    </row>
    <row r="24" spans="1:10">
      <c r="A24" s="3"/>
      <c r="B24" s="13"/>
      <c r="C24" s="13"/>
      <c r="D24" s="13"/>
      <c r="E24" s="13"/>
      <c r="F24" s="13"/>
      <c r="G24" s="13"/>
      <c r="H24" s="22"/>
      <c r="I24" s="13"/>
      <c r="J24" s="62"/>
    </row>
    <row r="25" spans="1:10">
      <c r="A25" s="3"/>
      <c r="B25" s="13"/>
      <c r="C25" s="13"/>
      <c r="D25" s="13"/>
      <c r="E25" s="13"/>
      <c r="F25" s="13"/>
      <c r="G25" s="13"/>
      <c r="H25" s="22"/>
      <c r="I25" s="13"/>
      <c r="J25" s="62"/>
    </row>
    <row r="32" spans="1:10">
      <c r="A32" s="214" t="s">
        <v>24</v>
      </c>
      <c r="B32" s="215"/>
      <c r="C32" s="215"/>
      <c r="D32" s="215"/>
      <c r="E32" s="215"/>
      <c r="F32" s="215"/>
      <c r="G32" s="215"/>
      <c r="H32" s="215"/>
      <c r="I32" s="216"/>
    </row>
    <row r="33" spans="1:9">
      <c r="A33" s="217"/>
      <c r="B33" s="218"/>
      <c r="C33" s="218"/>
      <c r="D33" s="218"/>
      <c r="E33" s="218"/>
      <c r="F33" s="218"/>
      <c r="G33" s="218"/>
      <c r="H33" s="218"/>
      <c r="I33" s="219"/>
    </row>
    <row r="34" spans="1:9">
      <c r="A34" s="220"/>
      <c r="B34" s="221"/>
      <c r="C34" s="221"/>
      <c r="D34" s="221"/>
      <c r="E34" s="221"/>
      <c r="F34" s="221"/>
      <c r="G34" s="221"/>
      <c r="H34" s="221"/>
      <c r="I34" s="222"/>
    </row>
    <row r="35" spans="1:9">
      <c r="A35" s="66"/>
      <c r="B35" s="66"/>
      <c r="C35" s="66"/>
      <c r="D35" s="66"/>
      <c r="E35" s="66"/>
      <c r="F35" s="66"/>
      <c r="G35" s="66"/>
      <c r="H35" s="66"/>
      <c r="I35" s="66"/>
    </row>
    <row r="36" spans="1:9">
      <c r="A36" s="110" t="s">
        <v>25</v>
      </c>
      <c r="B36" s="111"/>
      <c r="C36" s="111"/>
      <c r="D36" s="112"/>
    </row>
  </sheetData>
  <mergeCells count="1">
    <mergeCell ref="A32:I34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L5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1"/>
  <sheetViews>
    <sheetView showGridLines="0" zoomScale="90" zoomScaleNormal="90" workbookViewId="0">
      <selection activeCell="E1" sqref="E1"/>
    </sheetView>
  </sheetViews>
  <sheetFormatPr defaultRowHeight="15"/>
  <cols>
    <col min="1" max="1" width="77.42578125" style="130" customWidth="1"/>
    <col min="2" max="2" width="11.28515625" style="130" customWidth="1"/>
    <col min="3" max="4" width="12.140625" style="130" customWidth="1"/>
    <col min="5" max="5" width="11.140625" style="130" customWidth="1"/>
    <col min="6" max="7" width="8" style="130" bestFit="1" customWidth="1"/>
    <col min="8" max="8" width="9.85546875" style="130" customWidth="1"/>
    <col min="9" max="9" width="12" style="130" customWidth="1"/>
    <col min="10" max="10" width="13.42578125" style="130" customWidth="1"/>
    <col min="11" max="11" width="12.140625" style="130" customWidth="1"/>
    <col min="12" max="12" width="16.28515625" style="130" customWidth="1"/>
    <col min="13" max="13" width="11" style="130" bestFit="1" customWidth="1"/>
    <col min="14" max="14" width="6.85546875" style="130" bestFit="1" customWidth="1"/>
    <col min="15" max="15" width="9.140625" style="130" customWidth="1"/>
    <col min="16" max="16384" width="9.140625" style="130"/>
  </cols>
  <sheetData>
    <row r="1" spans="1:22">
      <c r="A1" s="137" t="s">
        <v>0</v>
      </c>
      <c r="B1" s="137"/>
      <c r="C1" s="137"/>
    </row>
    <row r="2" spans="1:22">
      <c r="A2" s="137" t="s">
        <v>1</v>
      </c>
      <c r="B2" s="137"/>
      <c r="C2" s="137"/>
    </row>
    <row r="4" spans="1:22" ht="63.75" customHeight="1">
      <c r="A4" s="81" t="s">
        <v>26</v>
      </c>
      <c r="B4" s="150" t="s">
        <v>27</v>
      </c>
      <c r="C4" s="151" t="s">
        <v>28</v>
      </c>
      <c r="D4" s="151" t="s">
        <v>29</v>
      </c>
      <c r="E4" s="150" t="s">
        <v>30</v>
      </c>
      <c r="F4" s="138" t="s">
        <v>8</v>
      </c>
      <c r="G4" s="63" t="s">
        <v>9</v>
      </c>
      <c r="H4" s="63" t="s">
        <v>10</v>
      </c>
      <c r="I4" s="150" t="s">
        <v>31</v>
      </c>
      <c r="J4" s="150" t="s">
        <v>32</v>
      </c>
      <c r="K4" s="150" t="s">
        <v>33</v>
      </c>
      <c r="L4" s="150" t="s">
        <v>34</v>
      </c>
    </row>
    <row r="5" spans="1:22">
      <c r="A5" s="156" t="s">
        <v>35</v>
      </c>
      <c r="B5" s="157">
        <v>7877</v>
      </c>
      <c r="C5" s="158">
        <v>7452</v>
      </c>
      <c r="D5" s="158"/>
      <c r="E5" s="158"/>
      <c r="F5" s="159">
        <f t="shared" ref="F5:F12" si="0">SUM(B5:E5)</f>
        <v>15329</v>
      </c>
      <c r="G5" s="160">
        <f t="shared" ref="G5:G12" si="1">AVERAGE(B5:E5)</f>
        <v>7664.5</v>
      </c>
      <c r="H5" s="161">
        <f t="shared" ref="H5:H13" si="2">F5/F$13*100</f>
        <v>39.849741336730183</v>
      </c>
      <c r="I5" s="162">
        <f>(Canais_Atendimento[[#This Row],[2° trim 2025]]-Canais_Atendimento[[#This Row],[1° trim 2025]])/Canais_Atendimento[[#This Row],[1° trim 2025]]</f>
        <v>-5.395455122508569E-2</v>
      </c>
      <c r="J5" s="168"/>
      <c r="K5" s="168"/>
      <c r="L5" s="145"/>
    </row>
    <row r="6" spans="1:22">
      <c r="A6" s="156" t="s">
        <v>36</v>
      </c>
      <c r="B6" s="157">
        <v>3927</v>
      </c>
      <c r="C6" s="158">
        <v>4124</v>
      </c>
      <c r="D6" s="158"/>
      <c r="E6" s="158"/>
      <c r="F6" s="159">
        <f t="shared" si="0"/>
        <v>8051</v>
      </c>
      <c r="G6" s="160">
        <f t="shared" si="1"/>
        <v>4025.5</v>
      </c>
      <c r="H6" s="161">
        <f t="shared" si="2"/>
        <v>20.929627992825019</v>
      </c>
      <c r="I6" s="162">
        <f>(Canais_Atendimento[[#This Row],[2° trim 2025]]-Canais_Atendimento[[#This Row],[1° trim 2025]])/Canais_Atendimento[[#This Row],[1° trim 2025]]</f>
        <v>5.0165520753756049E-2</v>
      </c>
      <c r="J6" s="168"/>
      <c r="K6" s="168"/>
      <c r="L6" s="145"/>
    </row>
    <row r="7" spans="1:22">
      <c r="A7" s="156" t="s">
        <v>37</v>
      </c>
      <c r="B7" s="157">
        <v>4392</v>
      </c>
      <c r="C7" s="158">
        <v>3198</v>
      </c>
      <c r="D7" s="158"/>
      <c r="E7" s="158"/>
      <c r="F7" s="159">
        <f t="shared" si="0"/>
        <v>7590</v>
      </c>
      <c r="G7" s="160">
        <f t="shared" si="1"/>
        <v>3795</v>
      </c>
      <c r="H7" s="161">
        <f t="shared" si="2"/>
        <v>19.73119816985988</v>
      </c>
      <c r="I7" s="162">
        <f>(Canais_Atendimento[[#This Row],[2° trim 2025]]-Canais_Atendimento[[#This Row],[1° trim 2025]])/Canais_Atendimento[[#This Row],[1° trim 2025]]</f>
        <v>-0.27185792349726778</v>
      </c>
      <c r="J7" s="168"/>
      <c r="K7" s="168"/>
      <c r="L7" s="145"/>
    </row>
    <row r="8" spans="1:22">
      <c r="A8" s="156" t="s">
        <v>38</v>
      </c>
      <c r="B8" s="157">
        <v>1951</v>
      </c>
      <c r="C8" s="158">
        <v>1888</v>
      </c>
      <c r="D8" s="158"/>
      <c r="E8" s="158"/>
      <c r="F8" s="159">
        <f t="shared" si="0"/>
        <v>3839</v>
      </c>
      <c r="G8" s="160">
        <f t="shared" si="1"/>
        <v>1919.5</v>
      </c>
      <c r="H8" s="161">
        <f t="shared" si="2"/>
        <v>9.9799828424363746</v>
      </c>
      <c r="I8" s="162">
        <f>(Canais_Atendimento[[#This Row],[2° trim 2025]]-Canais_Atendimento[[#This Row],[1° trim 2025]])/Canais_Atendimento[[#This Row],[1° trim 2025]]</f>
        <v>-3.2291132752434649E-2</v>
      </c>
      <c r="J8" s="168"/>
      <c r="K8" s="168"/>
      <c r="L8" s="145"/>
    </row>
    <row r="9" spans="1:22">
      <c r="A9" s="156" t="s">
        <v>39</v>
      </c>
      <c r="B9" s="157">
        <v>1251</v>
      </c>
      <c r="C9" s="158">
        <v>992</v>
      </c>
      <c r="D9" s="158"/>
      <c r="E9" s="158"/>
      <c r="F9" s="159">
        <f t="shared" si="0"/>
        <v>2243</v>
      </c>
      <c r="G9" s="160">
        <f t="shared" si="1"/>
        <v>1121.5</v>
      </c>
      <c r="H9" s="161">
        <f t="shared" si="2"/>
        <v>5.8309720019757192</v>
      </c>
      <c r="I9" s="162">
        <f>(Canais_Atendimento[[#This Row],[2° trim 2025]]-Canais_Atendimento[[#This Row],[1° trim 2025]])/Canais_Atendimento[[#This Row],[1° trim 2025]]</f>
        <v>-0.20703437250199841</v>
      </c>
      <c r="J9" s="168"/>
      <c r="K9" s="168"/>
      <c r="L9" s="145"/>
    </row>
    <row r="10" spans="1:22">
      <c r="A10" s="156" t="s">
        <v>40</v>
      </c>
      <c r="B10" s="157">
        <v>618</v>
      </c>
      <c r="C10" s="158">
        <v>516</v>
      </c>
      <c r="D10" s="158"/>
      <c r="E10" s="158"/>
      <c r="F10" s="159">
        <f t="shared" si="0"/>
        <v>1134</v>
      </c>
      <c r="G10" s="160">
        <f t="shared" si="1"/>
        <v>567</v>
      </c>
      <c r="H10" s="161">
        <f t="shared" si="2"/>
        <v>2.9479813866430966</v>
      </c>
      <c r="I10" s="162">
        <f>(Canais_Atendimento[[#This Row],[2° trim 2025]]-Canais_Atendimento[[#This Row],[1° trim 2025]])/Canais_Atendimento[[#This Row],[1° trim 2025]]</f>
        <v>-0.1650485436893204</v>
      </c>
      <c r="J10" s="168"/>
      <c r="K10" s="168"/>
      <c r="L10" s="145"/>
    </row>
    <row r="11" spans="1:22">
      <c r="A11" s="163" t="s">
        <v>41</v>
      </c>
      <c r="B11" s="157">
        <v>181</v>
      </c>
      <c r="C11" s="158">
        <v>28</v>
      </c>
      <c r="D11" s="158"/>
      <c r="E11" s="158"/>
      <c r="F11" s="159">
        <f t="shared" si="0"/>
        <v>209</v>
      </c>
      <c r="G11" s="160">
        <f t="shared" si="1"/>
        <v>104.5</v>
      </c>
      <c r="H11" s="161">
        <f t="shared" si="2"/>
        <v>0.54332284815556187</v>
      </c>
      <c r="I11" s="162">
        <f>(Canais_Atendimento[[#This Row],[2° trim 2025]]-Canais_Atendimento[[#This Row],[1° trim 2025]])/Canais_Atendimento[[#This Row],[1° trim 2025]]</f>
        <v>-0.84530386740331487</v>
      </c>
      <c r="J11" s="168"/>
      <c r="K11" s="168"/>
      <c r="L11" s="145"/>
    </row>
    <row r="12" spans="1:22">
      <c r="A12" s="156" t="s">
        <v>42</v>
      </c>
      <c r="B12" s="157">
        <v>36</v>
      </c>
      <c r="C12" s="158">
        <v>36</v>
      </c>
      <c r="D12" s="158"/>
      <c r="E12" s="158"/>
      <c r="F12" s="159">
        <f t="shared" si="0"/>
        <v>72</v>
      </c>
      <c r="G12" s="160">
        <f t="shared" si="1"/>
        <v>36</v>
      </c>
      <c r="H12" s="161">
        <f t="shared" si="2"/>
        <v>0.18717342137416487</v>
      </c>
      <c r="I12" s="162">
        <f>(Canais_Atendimento[[#This Row],[2° trim 2025]]-Canais_Atendimento[[#This Row],[1° trim 2025]])/Canais_Atendimento[[#This Row],[1° trim 2025]]</f>
        <v>0</v>
      </c>
      <c r="J12" s="168"/>
      <c r="K12" s="168"/>
      <c r="L12" s="145"/>
    </row>
    <row r="13" spans="1:22" ht="15.75">
      <c r="A13" s="164" t="s">
        <v>8</v>
      </c>
      <c r="B13" s="165">
        <f>SUM(B5:B12)</f>
        <v>20233</v>
      </c>
      <c r="C13" s="165">
        <f>SUM(C5:C12)</f>
        <v>18234</v>
      </c>
      <c r="D13" s="165">
        <f>SUM(D5:D12)</f>
        <v>0</v>
      </c>
      <c r="E13" s="165">
        <f>SUM(E5:E12)</f>
        <v>0</v>
      </c>
      <c r="F13" s="165">
        <f>SUM(Canais_Atendimento[[#This Row],[1° trim 2025]:[4° trim 2025]])</f>
        <v>38467</v>
      </c>
      <c r="G13" s="165">
        <f>AVERAGEIF(Canais_Atendimento[[#This Row],[1° trim 2025]:[4° trim 2025]],"&gt;0")</f>
        <v>19233.5</v>
      </c>
      <c r="H13" s="166">
        <f t="shared" si="2"/>
        <v>100</v>
      </c>
      <c r="I13" s="167">
        <f>(Canais_Atendimento[[#This Row],[2° trim 2025]]-Canais_Atendimento[[#This Row],[1° trim 2025]])/Canais_Atendimento[[#This Row],[1° trim 2025]]</f>
        <v>-9.8798991746157264E-2</v>
      </c>
      <c r="J13" s="169"/>
      <c r="K13" s="169"/>
      <c r="L13" s="155"/>
      <c r="T13" s="9"/>
      <c r="U13" s="135"/>
      <c r="V13" s="9"/>
    </row>
    <row r="14" spans="1:22">
      <c r="F14" s="141"/>
      <c r="J14" s="124"/>
      <c r="K14" s="124"/>
      <c r="L14" s="152"/>
      <c r="M14" s="153"/>
      <c r="N14" s="9"/>
    </row>
    <row r="15" spans="1:22">
      <c r="E15" s="140"/>
      <c r="J15" s="124"/>
      <c r="K15" s="124"/>
      <c r="L15" s="152"/>
      <c r="M15" s="153"/>
      <c r="N15" s="9"/>
    </row>
    <row r="16" spans="1:22" ht="96.75" customHeight="1">
      <c r="A16" s="154" t="s">
        <v>43</v>
      </c>
      <c r="L16" s="9"/>
      <c r="M16" s="135"/>
      <c r="N16" s="9"/>
    </row>
    <row r="17" spans="1:14">
      <c r="L17" s="142"/>
      <c r="M17" s="135"/>
      <c r="N17" s="143"/>
    </row>
    <row r="18" spans="1:14">
      <c r="A18" s="144"/>
      <c r="B18" s="145"/>
      <c r="C18" s="145"/>
      <c r="D18" s="145"/>
      <c r="E18" s="145"/>
    </row>
    <row r="19" spans="1:14">
      <c r="A19" s="139"/>
      <c r="B19" s="146"/>
      <c r="C19" s="146"/>
      <c r="D19" s="45"/>
      <c r="E19" s="135"/>
    </row>
    <row r="20" spans="1:14">
      <c r="A20" s="147"/>
      <c r="B20" s="146"/>
      <c r="C20" s="146"/>
      <c r="D20" s="45"/>
      <c r="E20" s="135"/>
    </row>
    <row r="21" spans="1:14">
      <c r="A21" s="147"/>
      <c r="B21" s="146"/>
      <c r="C21" s="146"/>
      <c r="D21" s="45"/>
      <c r="E21" s="135"/>
    </row>
    <row r="22" spans="1:14">
      <c r="A22" s="147"/>
      <c r="B22" s="146"/>
      <c r="C22" s="146"/>
      <c r="D22" s="45"/>
      <c r="E22" s="135"/>
    </row>
    <row r="23" spans="1:14">
      <c r="A23" s="147"/>
      <c r="B23" s="146"/>
      <c r="C23" s="146"/>
      <c r="D23" s="45"/>
      <c r="E23" s="135"/>
    </row>
    <row r="24" spans="1:14">
      <c r="A24" s="147"/>
      <c r="B24" s="146"/>
      <c r="C24" s="146"/>
      <c r="D24" s="45"/>
      <c r="E24" s="135"/>
    </row>
    <row r="25" spans="1:14">
      <c r="A25" s="147"/>
      <c r="B25" s="146"/>
      <c r="C25" s="146"/>
      <c r="D25" s="45"/>
      <c r="E25" s="135"/>
    </row>
    <row r="26" spans="1:14">
      <c r="A26" s="147"/>
      <c r="B26" s="146"/>
      <c r="C26" s="146"/>
      <c r="D26" s="45"/>
      <c r="E26" s="135"/>
    </row>
    <row r="27" spans="1:14">
      <c r="A27" s="142"/>
      <c r="B27" s="142"/>
      <c r="C27" s="142"/>
      <c r="D27" s="148"/>
    </row>
    <row r="28" spans="1:14">
      <c r="E28" s="141"/>
    </row>
    <row r="39" spans="1:1">
      <c r="A39" s="149"/>
    </row>
    <row r="41" spans="1:1">
      <c r="A41" s="149"/>
    </row>
  </sheetData>
  <sortState xmlns:xlrd2="http://schemas.microsoft.com/office/spreadsheetml/2017/richdata2" ref="J4:J10">
    <sortCondition ref="J4:J10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28CF7DCF-50B1-479F-AC89-8BB6F3614BF1}">
            <x14:iconSet iconSet="3Triangle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I5:I13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O44"/>
  <sheetViews>
    <sheetView showGridLines="0" zoomScale="90" zoomScaleNormal="90" workbookViewId="0">
      <selection activeCell="F2" sqref="F2"/>
    </sheetView>
  </sheetViews>
  <sheetFormatPr defaultColWidth="5.5703125" defaultRowHeight="20.100000000000001" customHeight="1"/>
  <cols>
    <col min="1" max="1" width="5.5703125" style="2"/>
    <col min="2" max="2" width="54.5703125" style="2" customWidth="1"/>
    <col min="3" max="3" width="11.42578125" style="2" customWidth="1"/>
    <col min="4" max="4" width="11.7109375" style="12" customWidth="1"/>
    <col min="5" max="5" width="11.7109375" style="2" customWidth="1"/>
    <col min="6" max="6" width="10.28515625" style="33" customWidth="1"/>
    <col min="7" max="7" width="11.28515625" style="2" customWidth="1"/>
    <col min="8" max="8" width="11.42578125" style="33" customWidth="1"/>
    <col min="9" max="9" width="20.140625" style="2" customWidth="1"/>
    <col min="10" max="10" width="3" style="2" customWidth="1"/>
    <col min="11" max="11" width="7.140625" style="2" bestFit="1" customWidth="1"/>
    <col min="12" max="12" width="7.5703125" style="2" bestFit="1" customWidth="1"/>
    <col min="13" max="13" width="7.140625" style="2" bestFit="1" customWidth="1"/>
    <col min="14" max="14" width="7.7109375" style="2" customWidth="1"/>
    <col min="15" max="15" width="7.140625" style="2" bestFit="1" customWidth="1"/>
    <col min="16" max="16" width="9.7109375" style="2" customWidth="1"/>
    <col min="17" max="17" width="17.42578125" style="2" customWidth="1"/>
    <col min="18" max="215" width="9.140625" style="2" customWidth="1"/>
    <col min="216" max="216" width="58.28515625" style="2" customWidth="1"/>
    <col min="217" max="217" width="3.7109375" style="2" bestFit="1" customWidth="1"/>
    <col min="218" max="218" width="5.5703125" style="2" bestFit="1" customWidth="1"/>
    <col min="219" max="219" width="5.5703125" style="2" customWidth="1"/>
    <col min="220" max="16384" width="5.5703125" style="2"/>
  </cols>
  <sheetData>
    <row r="1" spans="2:21" ht="20.100000000000001" customHeight="1">
      <c r="B1" s="59" t="s">
        <v>0</v>
      </c>
      <c r="C1" s="59"/>
      <c r="D1" s="60"/>
      <c r="E1" s="59"/>
      <c r="I1" s="134">
        <f>Assuntos_2025[[#Totals],[2° trim 2025]]</f>
        <v>17099</v>
      </c>
      <c r="J1" s="32"/>
      <c r="K1" s="41"/>
      <c r="L1" s="41"/>
      <c r="M1" s="41"/>
      <c r="N1" s="41"/>
      <c r="O1" s="41"/>
      <c r="Q1" s="41"/>
      <c r="R1" s="41"/>
      <c r="S1" s="36"/>
    </row>
    <row r="2" spans="2:21" ht="20.100000000000001" customHeight="1">
      <c r="B2" s="1" t="s">
        <v>1</v>
      </c>
      <c r="C2" s="1"/>
      <c r="D2" s="13"/>
      <c r="E2" s="1"/>
      <c r="I2" s="32"/>
      <c r="J2" s="32"/>
      <c r="K2" s="41"/>
      <c r="L2" s="41"/>
      <c r="M2" s="41"/>
      <c r="N2" s="41"/>
      <c r="O2" s="41"/>
      <c r="P2" s="41"/>
      <c r="Q2" s="41"/>
      <c r="R2" s="41"/>
      <c r="S2" s="36"/>
    </row>
    <row r="3" spans="2:21" ht="20.100000000000001" customHeight="1">
      <c r="B3" s="1"/>
      <c r="C3" s="1"/>
      <c r="D3" s="13"/>
      <c r="E3" s="1"/>
      <c r="I3" s="32"/>
      <c r="J3" s="32"/>
      <c r="K3" s="41"/>
      <c r="L3" s="41"/>
      <c r="M3" s="41"/>
      <c r="N3" s="41"/>
      <c r="O3" s="41"/>
      <c r="P3" s="41"/>
      <c r="Q3" s="41"/>
      <c r="R3" s="41"/>
      <c r="S3" s="36"/>
    </row>
    <row r="4" spans="2:21" ht="20.100000000000001" customHeight="1">
      <c r="B4" s="1" t="s">
        <v>44</v>
      </c>
      <c r="C4" s="1"/>
      <c r="D4" s="13"/>
      <c r="E4" s="1"/>
      <c r="I4" s="32"/>
      <c r="J4" s="32"/>
      <c r="K4" s="41"/>
      <c r="L4" s="41"/>
      <c r="M4" s="41"/>
      <c r="N4" s="41"/>
      <c r="O4" s="41"/>
      <c r="P4" s="41"/>
      <c r="Q4" s="41"/>
      <c r="R4" s="41"/>
      <c r="S4" s="36"/>
    </row>
    <row r="5" spans="2:21" ht="19.5" customHeight="1">
      <c r="F5" s="2"/>
      <c r="G5" s="33"/>
      <c r="H5" s="2"/>
      <c r="I5" s="58"/>
      <c r="J5" s="32"/>
      <c r="K5" s="41"/>
      <c r="L5" s="41"/>
      <c r="M5" s="41"/>
      <c r="N5" s="41"/>
      <c r="O5" s="41"/>
      <c r="P5" s="41"/>
      <c r="Q5" s="41"/>
      <c r="R5" s="41"/>
      <c r="S5" s="36"/>
    </row>
    <row r="6" spans="2:21" ht="62.25" customHeight="1">
      <c r="B6" s="63" t="s">
        <v>45</v>
      </c>
      <c r="C6" s="15" t="s">
        <v>27</v>
      </c>
      <c r="D6" s="15" t="s">
        <v>28</v>
      </c>
      <c r="E6" s="15" t="s">
        <v>29</v>
      </c>
      <c r="F6" s="15" t="s">
        <v>30</v>
      </c>
      <c r="G6" s="14" t="s">
        <v>8</v>
      </c>
      <c r="H6" s="14" t="s">
        <v>9</v>
      </c>
      <c r="I6" s="61" t="s">
        <v>46</v>
      </c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2:21" ht="20.100000000000001" customHeight="1">
      <c r="B7" s="41" t="s">
        <v>47</v>
      </c>
      <c r="C7" s="43">
        <v>1103</v>
      </c>
      <c r="D7" s="46">
        <v>1197</v>
      </c>
      <c r="E7" s="43"/>
      <c r="F7" s="43"/>
      <c r="G7" s="13">
        <f t="shared" ref="G7:G16" si="0">SUM(C7:F7)</f>
        <v>2300</v>
      </c>
      <c r="H7" s="62">
        <f t="shared" ref="H7:H16" si="1">AVERAGE(C7:F7)</f>
        <v>1150</v>
      </c>
      <c r="I7" s="11">
        <f t="shared" ref="I7:I16" si="2">(D7*100)/$I$1</f>
        <v>7.0004093806655359</v>
      </c>
      <c r="K7" s="36"/>
      <c r="L7" s="37"/>
      <c r="M7" s="37"/>
      <c r="N7" s="36"/>
      <c r="O7" s="36"/>
      <c r="P7" s="36"/>
      <c r="Q7" s="36"/>
      <c r="R7" s="36"/>
      <c r="S7" s="36"/>
      <c r="T7" s="36"/>
      <c r="U7" s="36"/>
    </row>
    <row r="8" spans="2:21" ht="20.100000000000001" customHeight="1">
      <c r="B8" s="47" t="s">
        <v>48</v>
      </c>
      <c r="C8" s="43">
        <v>977</v>
      </c>
      <c r="D8" s="46">
        <v>986</v>
      </c>
      <c r="E8" s="43"/>
      <c r="F8" s="43"/>
      <c r="G8" s="13">
        <f t="shared" si="0"/>
        <v>1963</v>
      </c>
      <c r="H8" s="62">
        <f t="shared" si="1"/>
        <v>981.5</v>
      </c>
      <c r="I8" s="11">
        <f t="shared" si="2"/>
        <v>5.7664190888356046</v>
      </c>
      <c r="K8" s="36"/>
      <c r="L8" s="37"/>
      <c r="M8" s="37"/>
      <c r="N8" s="36"/>
      <c r="O8" s="36"/>
      <c r="P8" s="36"/>
      <c r="Q8" s="36"/>
      <c r="R8" s="36"/>
      <c r="S8" s="36"/>
      <c r="T8" s="36"/>
      <c r="U8" s="36"/>
    </row>
    <row r="9" spans="2:21" ht="20.100000000000001" customHeight="1">
      <c r="B9" s="41" t="s">
        <v>49</v>
      </c>
      <c r="C9" s="43">
        <v>811</v>
      </c>
      <c r="D9" s="46">
        <v>977</v>
      </c>
      <c r="E9" s="43"/>
      <c r="F9" s="43"/>
      <c r="G9" s="13">
        <f t="shared" si="0"/>
        <v>1788</v>
      </c>
      <c r="H9" s="62">
        <f t="shared" si="1"/>
        <v>894</v>
      </c>
      <c r="I9" s="11">
        <f t="shared" si="2"/>
        <v>5.7137844318381195</v>
      </c>
      <c r="K9" s="36"/>
      <c r="L9" s="37"/>
      <c r="M9" s="37"/>
      <c r="N9" s="36"/>
      <c r="O9" s="36"/>
      <c r="P9" s="36"/>
      <c r="Q9" s="36"/>
      <c r="R9" s="36"/>
      <c r="S9" s="36"/>
      <c r="T9" s="36"/>
      <c r="U9" s="36"/>
    </row>
    <row r="10" spans="2:21" ht="20.100000000000001" customHeight="1">
      <c r="B10" s="41" t="s">
        <v>50</v>
      </c>
      <c r="C10" s="43">
        <v>865</v>
      </c>
      <c r="D10" s="46">
        <v>797</v>
      </c>
      <c r="E10" s="43"/>
      <c r="F10" s="43"/>
      <c r="G10" s="13">
        <f t="shared" si="0"/>
        <v>1662</v>
      </c>
      <c r="H10" s="62">
        <f t="shared" si="1"/>
        <v>831</v>
      </c>
      <c r="I10" s="11">
        <f t="shared" si="2"/>
        <v>4.6610912918884146</v>
      </c>
      <c r="K10" s="36"/>
      <c r="L10" s="37"/>
      <c r="M10" s="37"/>
      <c r="N10" s="36"/>
      <c r="O10" s="36"/>
      <c r="P10" s="36"/>
      <c r="Q10" s="36"/>
      <c r="R10" s="36"/>
      <c r="S10" s="36"/>
      <c r="T10" s="36"/>
      <c r="U10" s="36"/>
    </row>
    <row r="11" spans="2:21" ht="20.100000000000001" customHeight="1">
      <c r="B11" s="47" t="s">
        <v>51</v>
      </c>
      <c r="C11" s="43">
        <v>875</v>
      </c>
      <c r="D11" s="46">
        <v>733</v>
      </c>
      <c r="E11" s="43"/>
      <c r="F11" s="43"/>
      <c r="G11" s="13">
        <f t="shared" si="0"/>
        <v>1608</v>
      </c>
      <c r="H11" s="62">
        <f t="shared" si="1"/>
        <v>804</v>
      </c>
      <c r="I11" s="11">
        <f t="shared" si="2"/>
        <v>4.2868003976840754</v>
      </c>
      <c r="K11" s="36"/>
      <c r="L11" s="37"/>
      <c r="M11" s="37"/>
      <c r="N11" s="36"/>
      <c r="O11" s="36"/>
      <c r="P11" s="36"/>
      <c r="Q11" s="36"/>
      <c r="R11" s="36"/>
      <c r="S11" s="36"/>
      <c r="T11" s="36"/>
      <c r="U11" s="36"/>
    </row>
    <row r="12" spans="2:21" ht="20.100000000000001" customHeight="1">
      <c r="B12" s="47" t="s">
        <v>52</v>
      </c>
      <c r="C12" s="43">
        <v>676</v>
      </c>
      <c r="D12" s="46">
        <v>677</v>
      </c>
      <c r="E12" s="43"/>
      <c r="F12" s="43"/>
      <c r="G12" s="13">
        <f t="shared" si="0"/>
        <v>1353</v>
      </c>
      <c r="H12" s="62">
        <f t="shared" si="1"/>
        <v>676.5</v>
      </c>
      <c r="I12" s="11">
        <f t="shared" si="2"/>
        <v>3.9592958652552781</v>
      </c>
      <c r="K12" s="36"/>
      <c r="L12" s="37"/>
      <c r="M12" s="37"/>
      <c r="N12" s="36"/>
      <c r="O12" s="36"/>
      <c r="P12" s="36"/>
      <c r="Q12" s="36"/>
      <c r="R12" s="36"/>
      <c r="S12" s="36"/>
      <c r="T12" s="36"/>
      <c r="U12" s="36"/>
    </row>
    <row r="13" spans="2:21" ht="20.100000000000001" customHeight="1">
      <c r="B13" s="41" t="s">
        <v>53</v>
      </c>
      <c r="C13" s="43">
        <v>818</v>
      </c>
      <c r="D13" s="46">
        <v>438</v>
      </c>
      <c r="E13" s="43"/>
      <c r="F13" s="43"/>
      <c r="G13" s="13">
        <f t="shared" si="0"/>
        <v>1256</v>
      </c>
      <c r="H13" s="62">
        <f t="shared" si="1"/>
        <v>628</v>
      </c>
      <c r="I13" s="11">
        <f t="shared" si="2"/>
        <v>2.5615533072109482</v>
      </c>
      <c r="K13" s="36"/>
      <c r="L13" s="37"/>
      <c r="M13" s="37"/>
      <c r="N13" s="36"/>
      <c r="O13" s="36"/>
      <c r="P13" s="36"/>
      <c r="Q13" s="36"/>
      <c r="R13" s="36"/>
      <c r="S13" s="36"/>
      <c r="T13" s="36"/>
      <c r="U13" s="36"/>
    </row>
    <row r="14" spans="2:21" ht="20.100000000000001" customHeight="1">
      <c r="B14" s="41" t="s">
        <v>54</v>
      </c>
      <c r="C14" s="43">
        <v>469</v>
      </c>
      <c r="D14" s="46">
        <v>649</v>
      </c>
      <c r="E14" s="43"/>
      <c r="F14" s="43"/>
      <c r="G14" s="13">
        <f t="shared" si="0"/>
        <v>1118</v>
      </c>
      <c r="H14" s="62">
        <f t="shared" si="1"/>
        <v>559</v>
      </c>
      <c r="I14" s="11">
        <f t="shared" si="2"/>
        <v>3.7955435990408795</v>
      </c>
      <c r="K14" s="36"/>
      <c r="L14" s="37"/>
      <c r="M14" s="37"/>
      <c r="N14" s="36"/>
      <c r="O14" s="36"/>
      <c r="P14" s="36"/>
      <c r="Q14" s="36"/>
      <c r="R14" s="36"/>
      <c r="S14" s="36"/>
      <c r="T14" s="36"/>
      <c r="U14" s="36"/>
    </row>
    <row r="15" spans="2:21" ht="20.100000000000001" customHeight="1">
      <c r="B15" s="41" t="s">
        <v>55</v>
      </c>
      <c r="C15" s="43">
        <v>555</v>
      </c>
      <c r="D15" s="46">
        <v>550</v>
      </c>
      <c r="E15" s="43"/>
      <c r="F15" s="43"/>
      <c r="G15" s="13">
        <f t="shared" si="0"/>
        <v>1105</v>
      </c>
      <c r="H15" s="62">
        <f t="shared" si="1"/>
        <v>552.5</v>
      </c>
      <c r="I15" s="11">
        <f t="shared" si="2"/>
        <v>3.2165623720685419</v>
      </c>
      <c r="K15" s="36"/>
      <c r="L15" s="37"/>
      <c r="M15" s="37"/>
      <c r="N15" s="36"/>
      <c r="O15" s="36"/>
      <c r="P15" s="36"/>
      <c r="Q15" s="36"/>
      <c r="R15" s="36"/>
      <c r="S15" s="36"/>
      <c r="T15" s="36"/>
      <c r="U15" s="36"/>
    </row>
    <row r="16" spans="2:21" ht="20.100000000000001" customHeight="1">
      <c r="B16" s="41" t="s">
        <v>56</v>
      </c>
      <c r="C16" s="43">
        <v>616</v>
      </c>
      <c r="D16" s="46">
        <v>397</v>
      </c>
      <c r="E16" s="43"/>
      <c r="F16" s="43"/>
      <c r="G16" s="13">
        <f t="shared" si="0"/>
        <v>1013</v>
      </c>
      <c r="H16" s="62">
        <f t="shared" si="1"/>
        <v>506.5</v>
      </c>
      <c r="I16" s="11">
        <f t="shared" si="2"/>
        <v>2.321773203111293</v>
      </c>
      <c r="K16" s="36"/>
      <c r="L16" s="37"/>
      <c r="M16" s="37"/>
      <c r="N16" s="36"/>
      <c r="O16" s="36"/>
      <c r="P16" s="36"/>
      <c r="Q16" s="36"/>
      <c r="R16" s="36"/>
      <c r="S16" s="36"/>
      <c r="T16" s="36"/>
      <c r="U16" s="36"/>
    </row>
    <row r="17" spans="2:41" ht="20.100000000000001" customHeight="1">
      <c r="B17" s="97" t="s">
        <v>57</v>
      </c>
      <c r="C17" s="98">
        <f>SUM(C7:C16)</f>
        <v>7765</v>
      </c>
      <c r="D17" s="98">
        <f>SUM(D7:D16)</f>
        <v>7401</v>
      </c>
      <c r="E17" s="98"/>
      <c r="F17" s="98"/>
      <c r="G17" s="99">
        <f>SUM(G7:G16)</f>
        <v>15166</v>
      </c>
      <c r="H17" s="99">
        <f t="shared" ref="H17" si="3">AVERAGE(C17:F17)</f>
        <v>7583</v>
      </c>
      <c r="I17" s="87">
        <f t="shared" ref="I17" si="4">(D17*100)/$I$1</f>
        <v>43.28323293759869</v>
      </c>
      <c r="K17" s="36"/>
      <c r="L17" s="37"/>
      <c r="M17" s="37"/>
      <c r="N17" s="36"/>
      <c r="O17" s="36"/>
      <c r="P17" s="36"/>
      <c r="Q17" s="36"/>
      <c r="R17" s="36"/>
      <c r="S17" s="36"/>
      <c r="T17" s="36"/>
      <c r="U17" s="36"/>
    </row>
    <row r="18" spans="2:41" s="32" customFormat="1" ht="20.100000000000001" customHeight="1">
      <c r="B18" s="32" t="s">
        <v>58</v>
      </c>
      <c r="D18" s="57"/>
      <c r="H18" s="72" t="s">
        <v>59</v>
      </c>
      <c r="I18" s="96">
        <f>100-I17</f>
        <v>56.71676706240131</v>
      </c>
      <c r="K18" s="36"/>
      <c r="L18" s="36"/>
      <c r="M18" s="36"/>
      <c r="N18" s="36"/>
      <c r="Q18" s="36"/>
      <c r="R18" s="36"/>
      <c r="S18" s="36"/>
      <c r="T18" s="36"/>
      <c r="U18" s="36"/>
    </row>
    <row r="19" spans="2:41" s="48" customFormat="1" ht="20.100000000000001" customHeight="1">
      <c r="B19" s="55"/>
      <c r="C19" s="55"/>
      <c r="D19" s="54"/>
      <c r="E19" s="223"/>
      <c r="F19" s="223"/>
      <c r="G19" s="223"/>
      <c r="H19" s="223"/>
      <c r="I19" s="223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W19" s="53"/>
    </row>
    <row r="20" spans="2:41" s="48" customFormat="1" ht="78.75" customHeight="1">
      <c r="B20" s="90" t="s">
        <v>60</v>
      </c>
      <c r="C20" s="91" t="s">
        <v>61</v>
      </c>
      <c r="D20" s="136"/>
      <c r="F20" s="53"/>
      <c r="O20" s="53"/>
      <c r="W20" s="53"/>
      <c r="AC20" s="52"/>
      <c r="AD20" s="50"/>
      <c r="AE20" s="50"/>
      <c r="AF20" s="50"/>
      <c r="AG20" s="50"/>
      <c r="AH20" s="50"/>
      <c r="AI20" s="50"/>
      <c r="AJ20" s="51"/>
      <c r="AK20" s="50"/>
      <c r="AL20" s="50"/>
      <c r="AM20" s="50"/>
      <c r="AN20" s="50"/>
      <c r="AO20" s="49"/>
    </row>
    <row r="21" spans="2:41" s="48" customFormat="1" ht="20.100000000000001" customHeight="1">
      <c r="B21" s="77" t="s">
        <v>56</v>
      </c>
      <c r="C21" s="94">
        <v>2.321773203111293</v>
      </c>
      <c r="F21" s="53"/>
      <c r="O21" s="53"/>
      <c r="W21" s="56"/>
      <c r="AC21" s="52"/>
      <c r="AD21" s="50"/>
      <c r="AE21" s="50"/>
      <c r="AF21" s="50"/>
      <c r="AG21" s="50"/>
      <c r="AH21" s="50"/>
      <c r="AI21" s="50"/>
      <c r="AJ21" s="51"/>
      <c r="AK21" s="50"/>
      <c r="AL21" s="50"/>
      <c r="AM21" s="50"/>
      <c r="AN21" s="50"/>
      <c r="AO21" s="49"/>
    </row>
    <row r="22" spans="2:41" s="48" customFormat="1" ht="20.100000000000001" customHeight="1">
      <c r="B22" s="71" t="s">
        <v>53</v>
      </c>
      <c r="C22" s="95">
        <v>2.5615533072109482</v>
      </c>
      <c r="E22" s="223"/>
      <c r="F22" s="223"/>
      <c r="G22" s="223"/>
      <c r="H22" s="223"/>
      <c r="I22" s="223"/>
      <c r="S22" s="64"/>
      <c r="W22" s="53"/>
      <c r="AC22" s="52"/>
      <c r="AD22" s="50"/>
      <c r="AE22" s="50"/>
      <c r="AF22" s="50"/>
      <c r="AG22" s="50"/>
      <c r="AH22" s="50"/>
      <c r="AI22" s="50"/>
      <c r="AJ22" s="51"/>
      <c r="AK22" s="50"/>
      <c r="AL22" s="50"/>
      <c r="AM22" s="50"/>
      <c r="AN22" s="50"/>
      <c r="AO22" s="49"/>
    </row>
    <row r="23" spans="2:41" s="48" customFormat="1" ht="20.100000000000001" customHeight="1">
      <c r="B23" s="77" t="s">
        <v>55</v>
      </c>
      <c r="C23" s="94">
        <v>3.2165623720685419</v>
      </c>
      <c r="F23" s="53"/>
      <c r="W23" s="53"/>
      <c r="AC23" s="52"/>
      <c r="AD23" s="50"/>
      <c r="AE23" s="50"/>
      <c r="AF23" s="50"/>
      <c r="AG23" s="50"/>
      <c r="AH23" s="50"/>
      <c r="AI23" s="50"/>
      <c r="AJ23" s="51"/>
      <c r="AK23" s="50"/>
      <c r="AL23" s="50"/>
      <c r="AM23" s="50"/>
      <c r="AN23" s="50"/>
      <c r="AO23" s="49"/>
    </row>
    <row r="24" spans="2:41" s="48" customFormat="1" ht="20.100000000000001" customHeight="1">
      <c r="B24" s="77" t="s">
        <v>54</v>
      </c>
      <c r="C24" s="94">
        <v>3.7955435990408795</v>
      </c>
      <c r="F24" s="53"/>
      <c r="W24" s="53"/>
      <c r="AC24" s="52"/>
      <c r="AD24" s="50"/>
      <c r="AE24" s="50"/>
      <c r="AF24" s="50"/>
      <c r="AG24" s="50"/>
      <c r="AH24" s="50"/>
      <c r="AI24" s="50"/>
      <c r="AJ24" s="51"/>
      <c r="AK24" s="50"/>
      <c r="AL24" s="50"/>
      <c r="AM24" s="50"/>
      <c r="AN24" s="50"/>
      <c r="AO24" s="49"/>
    </row>
    <row r="25" spans="2:41" s="41" customFormat="1" ht="20.100000000000001" customHeight="1">
      <c r="B25" s="77" t="s">
        <v>52</v>
      </c>
      <c r="C25" s="94">
        <v>3.9592958652552781</v>
      </c>
      <c r="D25" s="48"/>
      <c r="E25" s="48"/>
      <c r="F25" s="53"/>
      <c r="G25" s="48"/>
      <c r="H25" s="53"/>
      <c r="I25" s="48"/>
      <c r="AC25" s="47"/>
      <c r="AD25" s="46"/>
      <c r="AE25" s="46"/>
      <c r="AF25" s="46"/>
      <c r="AG25" s="46"/>
      <c r="AH25" s="46"/>
      <c r="AI25" s="46"/>
      <c r="AJ25" s="43"/>
      <c r="AK25" s="46"/>
      <c r="AL25" s="46"/>
      <c r="AM25" s="46"/>
      <c r="AN25" s="46"/>
      <c r="AO25" s="45"/>
    </row>
    <row r="26" spans="2:41" s="41" customFormat="1" ht="20.100000000000001" customHeight="1">
      <c r="B26" s="32" t="s">
        <v>51</v>
      </c>
      <c r="C26" s="92">
        <v>4.2868003976840754</v>
      </c>
      <c r="D26" s="48"/>
      <c r="E26" s="195"/>
      <c r="F26" s="195"/>
      <c r="G26" s="195"/>
      <c r="H26" s="195"/>
      <c r="I26" s="195"/>
      <c r="R26" s="47"/>
      <c r="S26" s="46"/>
      <c r="T26" s="45"/>
      <c r="U26" s="45"/>
      <c r="V26" s="45"/>
      <c r="W26" s="44"/>
      <c r="AC26" s="47"/>
      <c r="AD26" s="46"/>
      <c r="AE26" s="46"/>
      <c r="AF26" s="46"/>
      <c r="AG26" s="46"/>
      <c r="AH26" s="46"/>
      <c r="AI26" s="46"/>
      <c r="AJ26" s="43"/>
      <c r="AK26" s="46"/>
      <c r="AL26" s="46"/>
      <c r="AM26" s="46"/>
      <c r="AN26" s="46"/>
      <c r="AO26" s="45"/>
    </row>
    <row r="27" spans="2:41" s="41" customFormat="1" ht="20.100000000000001" customHeight="1">
      <c r="B27" s="32" t="s">
        <v>50</v>
      </c>
      <c r="C27" s="93">
        <v>4.6610912918884146</v>
      </c>
      <c r="D27" s="48"/>
      <c r="E27" s="48"/>
      <c r="F27" s="53"/>
      <c r="G27" s="48"/>
      <c r="H27" s="53"/>
      <c r="I27" s="48"/>
      <c r="R27" s="47"/>
      <c r="S27" s="46"/>
      <c r="T27" s="45"/>
      <c r="U27" s="45"/>
      <c r="V27" s="45"/>
      <c r="W27" s="44"/>
      <c r="AC27" s="47"/>
      <c r="AD27" s="46"/>
      <c r="AE27" s="46"/>
      <c r="AF27" s="46"/>
      <c r="AG27" s="46"/>
      <c r="AH27" s="46"/>
      <c r="AI27" s="46"/>
      <c r="AJ27" s="43"/>
      <c r="AK27" s="46"/>
      <c r="AL27" s="46"/>
      <c r="AM27" s="46"/>
      <c r="AN27" s="46"/>
      <c r="AO27" s="45"/>
    </row>
    <row r="28" spans="2:41" s="41" customFormat="1" ht="20.100000000000001" customHeight="1">
      <c r="B28" s="32" t="s">
        <v>49</v>
      </c>
      <c r="C28" s="92">
        <v>5.7137844318381195</v>
      </c>
      <c r="D28" s="48"/>
      <c r="E28" s="48"/>
      <c r="F28" s="53"/>
      <c r="G28" s="48"/>
      <c r="H28" s="53"/>
      <c r="I28" s="48"/>
      <c r="R28" s="47"/>
      <c r="S28" s="46"/>
      <c r="T28" s="45"/>
      <c r="U28" s="45"/>
      <c r="V28" s="45"/>
      <c r="W28" s="44"/>
      <c r="AC28" s="47"/>
      <c r="AD28" s="46"/>
      <c r="AE28" s="46"/>
      <c r="AF28" s="46"/>
      <c r="AG28" s="46"/>
      <c r="AH28" s="46"/>
      <c r="AI28" s="46"/>
      <c r="AJ28" s="43"/>
      <c r="AK28" s="46"/>
      <c r="AL28" s="46"/>
      <c r="AM28" s="46"/>
      <c r="AN28" s="46"/>
      <c r="AO28" s="45"/>
    </row>
    <row r="29" spans="2:41" s="41" customFormat="1" ht="20.100000000000001" customHeight="1">
      <c r="B29" s="32" t="s">
        <v>48</v>
      </c>
      <c r="C29" s="92">
        <v>5.7664190888356046</v>
      </c>
      <c r="D29" s="48"/>
      <c r="E29" s="48"/>
      <c r="F29" s="53"/>
      <c r="G29" s="48"/>
      <c r="H29" s="53"/>
      <c r="I29" s="48"/>
      <c r="R29" s="47"/>
      <c r="S29" s="46"/>
      <c r="T29" s="45"/>
      <c r="U29" s="45"/>
      <c r="V29" s="45"/>
      <c r="W29" s="44"/>
      <c r="AO29" s="42"/>
    </row>
    <row r="30" spans="2:41" s="41" customFormat="1" ht="20.100000000000001" customHeight="1">
      <c r="B30" s="32" t="s">
        <v>47</v>
      </c>
      <c r="C30" s="92">
        <v>7.0004093806655359</v>
      </c>
      <c r="D30" s="48"/>
      <c r="E30" s="48"/>
      <c r="F30" s="53"/>
      <c r="G30" s="48"/>
      <c r="H30" s="53"/>
      <c r="I30" s="48"/>
      <c r="R30" s="47"/>
      <c r="S30" s="46"/>
      <c r="T30" s="45"/>
      <c r="U30" s="45"/>
      <c r="V30" s="45"/>
      <c r="W30" s="44"/>
    </row>
    <row r="31" spans="2:41" s="41" customFormat="1" ht="20.100000000000001" customHeight="1">
      <c r="F31" s="42"/>
      <c r="H31" s="42"/>
      <c r="R31" s="47"/>
      <c r="S31" s="46"/>
      <c r="T31" s="45"/>
      <c r="U31" s="45"/>
      <c r="V31" s="45"/>
      <c r="W31" s="44"/>
    </row>
    <row r="32" spans="2:41" s="41" customFormat="1" ht="20.100000000000001" customHeight="1">
      <c r="D32" s="43"/>
      <c r="F32" s="42"/>
      <c r="H32" s="42"/>
      <c r="R32" s="47"/>
      <c r="S32" s="46"/>
      <c r="T32" s="45"/>
      <c r="U32" s="45"/>
      <c r="V32" s="45"/>
      <c r="W32" s="44"/>
    </row>
    <row r="33" spans="2:23" s="41" customFormat="1" ht="20.100000000000001" customHeight="1">
      <c r="D33" s="43"/>
      <c r="F33" s="42"/>
      <c r="H33" s="42"/>
      <c r="R33" s="47"/>
      <c r="S33" s="46"/>
      <c r="T33" s="45"/>
      <c r="U33" s="45"/>
      <c r="V33" s="45"/>
      <c r="W33" s="44"/>
    </row>
    <row r="34" spans="2:23" s="41" customFormat="1" ht="99" customHeight="1">
      <c r="B34" s="100" t="s">
        <v>62</v>
      </c>
      <c r="C34" s="101"/>
      <c r="D34" s="43"/>
      <c r="F34" s="42"/>
      <c r="H34" s="42"/>
      <c r="R34" s="47"/>
      <c r="S34" s="46"/>
      <c r="T34" s="45"/>
      <c r="U34" s="45"/>
      <c r="V34" s="45"/>
      <c r="W34" s="44"/>
    </row>
    <row r="35" spans="2:23" s="41" customFormat="1" ht="20.100000000000001" customHeight="1">
      <c r="B35" s="102" t="s">
        <v>63</v>
      </c>
      <c r="C35" s="103"/>
      <c r="D35" s="43"/>
      <c r="F35" s="42"/>
      <c r="H35" s="42"/>
      <c r="R35" s="47"/>
      <c r="S35" s="46"/>
      <c r="T35" s="45"/>
      <c r="U35" s="45"/>
      <c r="V35" s="45"/>
      <c r="W35" s="44"/>
    </row>
    <row r="36" spans="2:23" ht="20.100000000000001" customHeight="1">
      <c r="B36" s="41"/>
      <c r="C36" s="41"/>
      <c r="D36" s="43"/>
      <c r="E36" s="41"/>
      <c r="F36" s="42"/>
      <c r="G36" s="41"/>
      <c r="H36" s="42"/>
      <c r="I36" s="41"/>
      <c r="J36" s="41"/>
      <c r="K36" s="41"/>
      <c r="L36" s="41"/>
    </row>
    <row r="37" spans="2:23" ht="20.100000000000001" customHeight="1">
      <c r="B37" s="41"/>
      <c r="C37" s="41"/>
      <c r="D37" s="43"/>
      <c r="E37" s="41"/>
      <c r="F37" s="42"/>
      <c r="G37" s="41"/>
      <c r="H37" s="42"/>
      <c r="I37" s="41"/>
      <c r="J37" s="41"/>
      <c r="K37" s="41"/>
      <c r="L37" s="41"/>
    </row>
    <row r="38" spans="2:23" ht="20.100000000000001" customHeight="1">
      <c r="B38" s="41"/>
      <c r="C38" s="41"/>
      <c r="D38" s="43"/>
      <c r="E38" s="41"/>
      <c r="F38" s="42"/>
      <c r="G38" s="41"/>
      <c r="H38" s="42"/>
      <c r="I38" s="41"/>
      <c r="J38" s="41"/>
      <c r="K38" s="41"/>
      <c r="L38" s="41"/>
    </row>
    <row r="39" spans="2:23" ht="20.100000000000001" customHeight="1">
      <c r="B39" s="41"/>
      <c r="C39" s="41"/>
      <c r="D39" s="43"/>
      <c r="E39" s="41"/>
      <c r="F39" s="42"/>
      <c r="G39" s="41"/>
      <c r="H39" s="42"/>
      <c r="I39" s="41"/>
      <c r="J39" s="41"/>
      <c r="K39" s="41"/>
      <c r="L39" s="41"/>
    </row>
    <row r="40" spans="2:23" ht="20.100000000000001" customHeight="1">
      <c r="B40" s="41"/>
      <c r="C40" s="41"/>
      <c r="D40" s="43"/>
      <c r="E40" s="41"/>
      <c r="F40" s="42"/>
      <c r="G40" s="41"/>
      <c r="H40" s="42"/>
      <c r="I40" s="41"/>
      <c r="J40" s="41"/>
      <c r="K40" s="41"/>
      <c r="L40" s="41"/>
    </row>
    <row r="41" spans="2:23" ht="20.100000000000001" customHeight="1">
      <c r="B41" s="36"/>
      <c r="C41" s="36"/>
      <c r="D41" s="38"/>
      <c r="E41" s="36"/>
      <c r="F41" s="37"/>
      <c r="G41" s="36"/>
      <c r="H41" s="37"/>
      <c r="I41" s="36"/>
      <c r="J41" s="36"/>
      <c r="K41" s="36"/>
      <c r="L41" s="36"/>
    </row>
    <row r="42" spans="2:23" ht="20.100000000000001" customHeight="1">
      <c r="B42" s="39"/>
      <c r="C42" s="39"/>
      <c r="D42" s="40"/>
      <c r="E42" s="39"/>
      <c r="F42" s="37"/>
      <c r="G42" s="36"/>
      <c r="H42" s="37"/>
      <c r="I42" s="36"/>
      <c r="J42" s="36"/>
      <c r="K42" s="36"/>
      <c r="L42" s="36"/>
    </row>
    <row r="43" spans="2:23" ht="20.100000000000001" customHeight="1">
      <c r="B43" s="36"/>
      <c r="C43" s="36"/>
      <c r="D43" s="38"/>
      <c r="E43" s="36"/>
      <c r="F43" s="37"/>
      <c r="G43" s="36"/>
      <c r="H43" s="37"/>
      <c r="I43" s="36"/>
      <c r="J43" s="36"/>
      <c r="K43" s="36"/>
      <c r="L43" s="36"/>
    </row>
    <row r="44" spans="2:23" ht="20.100000000000001" customHeight="1">
      <c r="B44" s="34"/>
      <c r="C44" s="34"/>
      <c r="D44" s="35"/>
      <c r="E44" s="34"/>
    </row>
  </sheetData>
  <sortState xmlns:xlrd2="http://schemas.microsoft.com/office/spreadsheetml/2017/richdata2" ref="B21:C30">
    <sortCondition ref="C21:C30"/>
  </sortState>
  <mergeCells count="2">
    <mergeCell ref="E19:I19"/>
    <mergeCell ref="E22:I22"/>
  </mergeCells>
  <hyperlinks>
    <hyperlink ref="B35" r:id="rId1" xr:uid="{00000000-0004-0000-0200-000000000000}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8"/>
  <sheetViews>
    <sheetView showGridLines="0" topLeftCell="A2" zoomScale="90" zoomScaleNormal="90" workbookViewId="0">
      <selection activeCell="J4" sqref="J4"/>
    </sheetView>
  </sheetViews>
  <sheetFormatPr defaultRowHeight="14.25"/>
  <cols>
    <col min="1" max="1" width="84.7109375" style="2" bestFit="1" customWidth="1"/>
    <col min="2" max="5" width="14.7109375" style="12" customWidth="1"/>
    <col min="6" max="6" width="8.28515625" style="12" customWidth="1"/>
    <col min="7" max="7" width="9.42578125" style="12" customWidth="1"/>
    <col min="8" max="8" width="10.42578125" style="30" customWidth="1"/>
    <col min="9" max="9" width="9.140625" style="2" customWidth="1"/>
    <col min="10" max="16384" width="9.140625" style="2"/>
  </cols>
  <sheetData>
    <row r="1" spans="1:8" ht="15">
      <c r="A1" s="1" t="s">
        <v>0</v>
      </c>
      <c r="B1" s="13"/>
      <c r="C1" s="13"/>
      <c r="D1" s="13"/>
      <c r="E1" s="13"/>
    </row>
    <row r="2" spans="1:8" ht="15">
      <c r="A2" s="1" t="s">
        <v>1</v>
      </c>
      <c r="B2" s="13"/>
      <c r="C2" s="13"/>
      <c r="D2" s="13"/>
      <c r="E2" s="13"/>
    </row>
    <row r="4" spans="1:8" ht="40.5" customHeight="1">
      <c r="A4" s="22" t="s">
        <v>45</v>
      </c>
      <c r="B4" s="14" t="s">
        <v>27</v>
      </c>
      <c r="C4" s="14" t="s">
        <v>28</v>
      </c>
      <c r="D4" s="14" t="s">
        <v>29</v>
      </c>
      <c r="E4" s="14" t="s">
        <v>30</v>
      </c>
      <c r="F4" s="14" t="s">
        <v>8</v>
      </c>
      <c r="G4" s="65" t="s">
        <v>9</v>
      </c>
      <c r="H4" s="11" t="s">
        <v>64</v>
      </c>
    </row>
    <row r="5" spans="1:8" ht="15">
      <c r="A5" s="183" t="s">
        <v>65</v>
      </c>
      <c r="B5" s="179">
        <v>0</v>
      </c>
      <c r="C5" s="173">
        <v>0</v>
      </c>
      <c r="D5" s="179"/>
      <c r="E5" s="179"/>
      <c r="F5" s="174">
        <f t="shared" ref="F5:F68" si="0">SUM(B5:E5)</f>
        <v>0</v>
      </c>
      <c r="G5" s="175">
        <f t="shared" ref="G5:G68" si="1">AVERAGE(B5:E5)</f>
        <v>0</v>
      </c>
      <c r="H5" s="176">
        <f t="shared" ref="H5:H68" si="2">(F5/$F$252)*100</f>
        <v>0</v>
      </c>
    </row>
    <row r="6" spans="1:8" s="177" customFormat="1" ht="15">
      <c r="A6" s="184" t="s">
        <v>66</v>
      </c>
      <c r="B6" s="179">
        <v>2</v>
      </c>
      <c r="C6" s="173">
        <v>2</v>
      </c>
      <c r="D6" s="179"/>
      <c r="E6" s="179"/>
      <c r="F6" s="174">
        <f t="shared" si="0"/>
        <v>4</v>
      </c>
      <c r="G6" s="175">
        <f t="shared" si="1"/>
        <v>2</v>
      </c>
      <c r="H6" s="176">
        <f t="shared" si="2"/>
        <v>1.1025966150283919E-2</v>
      </c>
    </row>
    <row r="7" spans="1:8" s="177" customFormat="1" ht="15">
      <c r="A7" s="184" t="s">
        <v>67</v>
      </c>
      <c r="B7" s="179">
        <v>1</v>
      </c>
      <c r="C7" s="173">
        <v>0</v>
      </c>
      <c r="D7" s="179"/>
      <c r="E7" s="179"/>
      <c r="F7" s="174">
        <f t="shared" si="0"/>
        <v>1</v>
      </c>
      <c r="G7" s="175">
        <f t="shared" si="1"/>
        <v>0.5</v>
      </c>
      <c r="H7" s="176">
        <f t="shared" si="2"/>
        <v>2.7564915375709797E-3</v>
      </c>
    </row>
    <row r="8" spans="1:8" s="177" customFormat="1" ht="15">
      <c r="A8" s="184" t="s">
        <v>68</v>
      </c>
      <c r="B8" s="179">
        <v>23</v>
      </c>
      <c r="C8" s="173">
        <v>81</v>
      </c>
      <c r="D8" s="179"/>
      <c r="E8" s="179"/>
      <c r="F8" s="174">
        <f t="shared" si="0"/>
        <v>104</v>
      </c>
      <c r="G8" s="175">
        <f t="shared" si="1"/>
        <v>52</v>
      </c>
      <c r="H8" s="176">
        <f t="shared" si="2"/>
        <v>0.28667511990738187</v>
      </c>
    </row>
    <row r="9" spans="1:8" s="177" customFormat="1" ht="15">
      <c r="A9" s="184" t="s">
        <v>69</v>
      </c>
      <c r="B9" s="179">
        <v>48</v>
      </c>
      <c r="C9" s="173">
        <v>43</v>
      </c>
      <c r="D9" s="179"/>
      <c r="E9" s="179"/>
      <c r="F9" s="174">
        <f t="shared" si="0"/>
        <v>91</v>
      </c>
      <c r="G9" s="175">
        <f t="shared" si="1"/>
        <v>45.5</v>
      </c>
      <c r="H9" s="176">
        <f t="shared" si="2"/>
        <v>0.25084072991895912</v>
      </c>
    </row>
    <row r="10" spans="1:8" s="177" customFormat="1" ht="15">
      <c r="A10" s="184" t="s">
        <v>70</v>
      </c>
      <c r="B10" s="179">
        <v>1</v>
      </c>
      <c r="C10" s="173">
        <v>0</v>
      </c>
      <c r="D10" s="179"/>
      <c r="E10" s="179"/>
      <c r="F10" s="174">
        <f t="shared" si="0"/>
        <v>1</v>
      </c>
      <c r="G10" s="175">
        <f t="shared" si="1"/>
        <v>0.5</v>
      </c>
      <c r="H10" s="176">
        <f t="shared" si="2"/>
        <v>2.7564915375709797E-3</v>
      </c>
    </row>
    <row r="11" spans="1:8" s="177" customFormat="1" ht="15">
      <c r="A11" s="178" t="s">
        <v>71</v>
      </c>
      <c r="B11" s="179">
        <v>6</v>
      </c>
      <c r="C11" s="173">
        <v>8</v>
      </c>
      <c r="D11" s="179"/>
      <c r="E11" s="179"/>
      <c r="F11" s="174">
        <f t="shared" si="0"/>
        <v>14</v>
      </c>
      <c r="G11" s="175">
        <f t="shared" si="1"/>
        <v>7</v>
      </c>
      <c r="H11" s="176">
        <f t="shared" si="2"/>
        <v>3.8590881525993714E-2</v>
      </c>
    </row>
    <row r="12" spans="1:8" s="177" customFormat="1" ht="15">
      <c r="A12" s="184" t="s">
        <v>72</v>
      </c>
      <c r="B12" s="179">
        <v>2</v>
      </c>
      <c r="C12" s="173">
        <v>1</v>
      </c>
      <c r="D12" s="179"/>
      <c r="E12" s="179"/>
      <c r="F12" s="174">
        <f t="shared" si="0"/>
        <v>3</v>
      </c>
      <c r="G12" s="175">
        <f t="shared" si="1"/>
        <v>1.5</v>
      </c>
      <c r="H12" s="176">
        <f t="shared" si="2"/>
        <v>8.2694746127129383E-3</v>
      </c>
    </row>
    <row r="13" spans="1:8" s="177" customFormat="1" ht="15">
      <c r="A13" s="184" t="s">
        <v>73</v>
      </c>
      <c r="B13" s="179">
        <v>6</v>
      </c>
      <c r="C13" s="173">
        <v>1</v>
      </c>
      <c r="D13" s="179"/>
      <c r="E13" s="179"/>
      <c r="F13" s="174">
        <f t="shared" si="0"/>
        <v>7</v>
      </c>
      <c r="G13" s="175">
        <f t="shared" si="1"/>
        <v>3.5</v>
      </c>
      <c r="H13" s="176">
        <f t="shared" si="2"/>
        <v>1.9295440762996857E-2</v>
      </c>
    </row>
    <row r="14" spans="1:8" s="177" customFormat="1" ht="15">
      <c r="A14" s="184" t="s">
        <v>74</v>
      </c>
      <c r="B14" s="179">
        <v>5</v>
      </c>
      <c r="C14" s="173">
        <v>4</v>
      </c>
      <c r="D14" s="179"/>
      <c r="E14" s="179"/>
      <c r="F14" s="174">
        <f t="shared" si="0"/>
        <v>9</v>
      </c>
      <c r="G14" s="175">
        <f t="shared" si="1"/>
        <v>4.5</v>
      </c>
      <c r="H14" s="176">
        <f t="shared" si="2"/>
        <v>2.4808423838138818E-2</v>
      </c>
    </row>
    <row r="15" spans="1:8" s="177" customFormat="1" ht="15">
      <c r="A15" s="184" t="s">
        <v>75</v>
      </c>
      <c r="B15" s="179">
        <v>2</v>
      </c>
      <c r="C15" s="173">
        <v>5</v>
      </c>
      <c r="D15" s="179"/>
      <c r="E15" s="179"/>
      <c r="F15" s="174">
        <f t="shared" si="0"/>
        <v>7</v>
      </c>
      <c r="G15" s="175">
        <f t="shared" si="1"/>
        <v>3.5</v>
      </c>
      <c r="H15" s="176">
        <f t="shared" si="2"/>
        <v>1.9295440762996857E-2</v>
      </c>
    </row>
    <row r="16" spans="1:8" ht="15">
      <c r="A16" s="178" t="s">
        <v>76</v>
      </c>
      <c r="B16" s="158">
        <v>48</v>
      </c>
      <c r="C16" s="173">
        <v>43</v>
      </c>
      <c r="D16" s="158"/>
      <c r="E16" s="158"/>
      <c r="F16" s="174">
        <f t="shared" si="0"/>
        <v>91</v>
      </c>
      <c r="G16" s="175">
        <f t="shared" si="1"/>
        <v>45.5</v>
      </c>
      <c r="H16" s="176">
        <f t="shared" si="2"/>
        <v>0.25084072991895912</v>
      </c>
    </row>
    <row r="17" spans="1:8" ht="15">
      <c r="A17" s="172" t="s">
        <v>77</v>
      </c>
      <c r="B17" s="158">
        <v>74</v>
      </c>
      <c r="C17" s="173">
        <v>54</v>
      </c>
      <c r="D17" s="158"/>
      <c r="E17" s="158"/>
      <c r="F17" s="174">
        <f t="shared" si="0"/>
        <v>128</v>
      </c>
      <c r="G17" s="175">
        <f t="shared" si="1"/>
        <v>64</v>
      </c>
      <c r="H17" s="176">
        <f t="shared" si="2"/>
        <v>0.3528309168090854</v>
      </c>
    </row>
    <row r="18" spans="1:8" ht="15">
      <c r="A18" s="172" t="s">
        <v>78</v>
      </c>
      <c r="B18" s="158">
        <v>2</v>
      </c>
      <c r="C18" s="173">
        <v>3</v>
      </c>
      <c r="D18" s="158"/>
      <c r="E18" s="158"/>
      <c r="F18" s="174">
        <f t="shared" si="0"/>
        <v>5</v>
      </c>
      <c r="G18" s="175">
        <f t="shared" si="1"/>
        <v>2.5</v>
      </c>
      <c r="H18" s="176">
        <f t="shared" si="2"/>
        <v>1.3782457687854899E-2</v>
      </c>
    </row>
    <row r="19" spans="1:8" ht="15">
      <c r="A19" s="172" t="s">
        <v>79</v>
      </c>
      <c r="B19" s="158">
        <v>15</v>
      </c>
      <c r="C19" s="173">
        <v>10</v>
      </c>
      <c r="D19" s="158"/>
      <c r="E19" s="158"/>
      <c r="F19" s="174">
        <f t="shared" si="0"/>
        <v>25</v>
      </c>
      <c r="G19" s="175">
        <f t="shared" si="1"/>
        <v>12.5</v>
      </c>
      <c r="H19" s="176">
        <f t="shared" si="2"/>
        <v>6.8912288439274494E-2</v>
      </c>
    </row>
    <row r="20" spans="1:8" ht="15">
      <c r="A20" s="172" t="s">
        <v>80</v>
      </c>
      <c r="B20" s="158">
        <v>20</v>
      </c>
      <c r="C20" s="173">
        <v>11</v>
      </c>
      <c r="D20" s="158"/>
      <c r="E20" s="158"/>
      <c r="F20" s="174">
        <f t="shared" si="0"/>
        <v>31</v>
      </c>
      <c r="G20" s="175">
        <f t="shared" si="1"/>
        <v>15.5</v>
      </c>
      <c r="H20" s="176">
        <f t="shared" si="2"/>
        <v>8.5451237664700377E-2</v>
      </c>
    </row>
    <row r="21" spans="1:8" ht="15">
      <c r="A21" s="172" t="s">
        <v>81</v>
      </c>
      <c r="B21" s="158">
        <v>11</v>
      </c>
      <c r="C21" s="173">
        <v>39</v>
      </c>
      <c r="D21" s="158"/>
      <c r="E21" s="158"/>
      <c r="F21" s="174">
        <f t="shared" si="0"/>
        <v>50</v>
      </c>
      <c r="G21" s="175">
        <f t="shared" si="1"/>
        <v>25</v>
      </c>
      <c r="H21" s="176">
        <f t="shared" si="2"/>
        <v>0.13782457687854899</v>
      </c>
    </row>
    <row r="22" spans="1:8" ht="15">
      <c r="A22" s="172" t="s">
        <v>82</v>
      </c>
      <c r="B22" s="158">
        <v>1</v>
      </c>
      <c r="C22" s="173">
        <v>1</v>
      </c>
      <c r="D22" s="158"/>
      <c r="E22" s="158"/>
      <c r="F22" s="174">
        <f t="shared" si="0"/>
        <v>2</v>
      </c>
      <c r="G22" s="175">
        <f t="shared" si="1"/>
        <v>1</v>
      </c>
      <c r="H22" s="176">
        <f t="shared" si="2"/>
        <v>5.5129830751419594E-3</v>
      </c>
    </row>
    <row r="23" spans="1:8" ht="15">
      <c r="A23" s="172" t="s">
        <v>83</v>
      </c>
      <c r="B23" s="158">
        <v>0</v>
      </c>
      <c r="C23" s="173">
        <v>1</v>
      </c>
      <c r="D23" s="158"/>
      <c r="E23" s="158"/>
      <c r="F23" s="174">
        <f t="shared" si="0"/>
        <v>1</v>
      </c>
      <c r="G23" s="175">
        <f t="shared" si="1"/>
        <v>0.5</v>
      </c>
      <c r="H23" s="176">
        <f t="shared" si="2"/>
        <v>2.7564915375709797E-3</v>
      </c>
    </row>
    <row r="24" spans="1:8" ht="15">
      <c r="A24" s="172" t="s">
        <v>84</v>
      </c>
      <c r="B24" s="158">
        <v>0</v>
      </c>
      <c r="C24" s="173">
        <v>0</v>
      </c>
      <c r="D24" s="158"/>
      <c r="E24" s="158"/>
      <c r="F24" s="174">
        <f t="shared" si="0"/>
        <v>0</v>
      </c>
      <c r="G24" s="175">
        <f t="shared" si="1"/>
        <v>0</v>
      </c>
      <c r="H24" s="176">
        <f t="shared" si="2"/>
        <v>0</v>
      </c>
    </row>
    <row r="25" spans="1:8" ht="15">
      <c r="A25" s="172" t="s">
        <v>85</v>
      </c>
      <c r="B25" s="158">
        <v>48</v>
      </c>
      <c r="C25" s="173">
        <v>38</v>
      </c>
      <c r="D25" s="158"/>
      <c r="E25" s="158"/>
      <c r="F25" s="174">
        <f t="shared" si="0"/>
        <v>86</v>
      </c>
      <c r="G25" s="175">
        <f t="shared" si="1"/>
        <v>43</v>
      </c>
      <c r="H25" s="176">
        <f t="shared" si="2"/>
        <v>0.23705827223110426</v>
      </c>
    </row>
    <row r="26" spans="1:8" ht="15">
      <c r="A26" s="172" t="s">
        <v>86</v>
      </c>
      <c r="B26" s="158">
        <v>1</v>
      </c>
      <c r="C26" s="173">
        <v>0</v>
      </c>
      <c r="D26" s="158"/>
      <c r="E26" s="158"/>
      <c r="F26" s="174">
        <f t="shared" si="0"/>
        <v>1</v>
      </c>
      <c r="G26" s="175">
        <f t="shared" si="1"/>
        <v>0.5</v>
      </c>
      <c r="H26" s="176">
        <f t="shared" si="2"/>
        <v>2.7564915375709797E-3</v>
      </c>
    </row>
    <row r="27" spans="1:8" ht="15">
      <c r="A27" s="172" t="s">
        <v>51</v>
      </c>
      <c r="B27" s="158">
        <v>875</v>
      </c>
      <c r="C27" s="173">
        <v>733</v>
      </c>
      <c r="D27" s="158"/>
      <c r="E27" s="158"/>
      <c r="F27" s="174">
        <f t="shared" si="0"/>
        <v>1608</v>
      </c>
      <c r="G27" s="175">
        <f t="shared" si="1"/>
        <v>804</v>
      </c>
      <c r="H27" s="176">
        <f t="shared" si="2"/>
        <v>4.4324383924141353</v>
      </c>
    </row>
    <row r="28" spans="1:8" ht="15">
      <c r="A28" s="172" t="s">
        <v>87</v>
      </c>
      <c r="B28" s="158">
        <v>0</v>
      </c>
      <c r="C28" s="173">
        <v>0</v>
      </c>
      <c r="D28" s="158"/>
      <c r="E28" s="158"/>
      <c r="F28" s="174">
        <f t="shared" si="0"/>
        <v>0</v>
      </c>
      <c r="G28" s="175">
        <f t="shared" si="1"/>
        <v>0</v>
      </c>
      <c r="H28" s="176">
        <f t="shared" si="2"/>
        <v>0</v>
      </c>
    </row>
    <row r="29" spans="1:8" ht="15">
      <c r="A29" s="172" t="s">
        <v>88</v>
      </c>
      <c r="B29" s="158">
        <v>0</v>
      </c>
      <c r="C29" s="173">
        <v>0</v>
      </c>
      <c r="D29" s="158"/>
      <c r="E29" s="158"/>
      <c r="F29" s="174">
        <f t="shared" si="0"/>
        <v>0</v>
      </c>
      <c r="G29" s="175">
        <f t="shared" si="1"/>
        <v>0</v>
      </c>
      <c r="H29" s="176">
        <f t="shared" si="2"/>
        <v>0</v>
      </c>
    </row>
    <row r="30" spans="1:8" ht="15">
      <c r="A30" s="172" t="s">
        <v>89</v>
      </c>
      <c r="B30" s="158">
        <v>60</v>
      </c>
      <c r="C30" s="173">
        <v>46</v>
      </c>
      <c r="D30" s="158"/>
      <c r="E30" s="158"/>
      <c r="F30" s="174">
        <f t="shared" si="0"/>
        <v>106</v>
      </c>
      <c r="G30" s="175">
        <f t="shared" si="1"/>
        <v>53</v>
      </c>
      <c r="H30" s="176">
        <f t="shared" si="2"/>
        <v>0.29218810298252385</v>
      </c>
    </row>
    <row r="31" spans="1:8" ht="15">
      <c r="A31" s="172" t="s">
        <v>90</v>
      </c>
      <c r="B31" s="158">
        <v>0</v>
      </c>
      <c r="C31" s="173">
        <v>1</v>
      </c>
      <c r="D31" s="158"/>
      <c r="E31" s="158"/>
      <c r="F31" s="174">
        <f t="shared" si="0"/>
        <v>1</v>
      </c>
      <c r="G31" s="175">
        <f t="shared" si="1"/>
        <v>0.5</v>
      </c>
      <c r="H31" s="176">
        <f t="shared" si="2"/>
        <v>2.7564915375709797E-3</v>
      </c>
    </row>
    <row r="32" spans="1:8" ht="15">
      <c r="A32" s="178" t="s">
        <v>91</v>
      </c>
      <c r="B32" s="158">
        <v>83</v>
      </c>
      <c r="C32" s="173">
        <v>86</v>
      </c>
      <c r="D32" s="158"/>
      <c r="E32" s="158"/>
      <c r="F32" s="174">
        <f t="shared" si="0"/>
        <v>169</v>
      </c>
      <c r="G32" s="175">
        <f t="shared" si="1"/>
        <v>84.5</v>
      </c>
      <c r="H32" s="176">
        <f t="shared" si="2"/>
        <v>0.46584706984949559</v>
      </c>
    </row>
    <row r="33" spans="1:8" ht="15">
      <c r="A33" s="178" t="s">
        <v>92</v>
      </c>
      <c r="B33" s="158">
        <v>1</v>
      </c>
      <c r="C33" s="173">
        <v>1</v>
      </c>
      <c r="D33" s="158"/>
      <c r="E33" s="158"/>
      <c r="F33" s="174">
        <f t="shared" si="0"/>
        <v>2</v>
      </c>
      <c r="G33" s="175">
        <f t="shared" si="1"/>
        <v>1</v>
      </c>
      <c r="H33" s="176">
        <f t="shared" si="2"/>
        <v>5.5129830751419594E-3</v>
      </c>
    </row>
    <row r="34" spans="1:8" ht="15">
      <c r="A34" s="178" t="s">
        <v>93</v>
      </c>
      <c r="B34" s="158">
        <v>1</v>
      </c>
      <c r="C34" s="173">
        <v>0</v>
      </c>
      <c r="D34" s="158"/>
      <c r="E34" s="158"/>
      <c r="F34" s="174">
        <f t="shared" si="0"/>
        <v>1</v>
      </c>
      <c r="G34" s="175">
        <f t="shared" si="1"/>
        <v>0.5</v>
      </c>
      <c r="H34" s="176">
        <f t="shared" si="2"/>
        <v>2.7564915375709797E-3</v>
      </c>
    </row>
    <row r="35" spans="1:8" ht="15">
      <c r="A35" s="178" t="s">
        <v>94</v>
      </c>
      <c r="B35" s="158">
        <v>1</v>
      </c>
      <c r="C35" s="173">
        <v>4</v>
      </c>
      <c r="D35" s="158"/>
      <c r="E35" s="158"/>
      <c r="F35" s="174">
        <f t="shared" si="0"/>
        <v>5</v>
      </c>
      <c r="G35" s="175">
        <f t="shared" si="1"/>
        <v>2.5</v>
      </c>
      <c r="H35" s="176">
        <f t="shared" si="2"/>
        <v>1.3782457687854899E-2</v>
      </c>
    </row>
    <row r="36" spans="1:8" ht="15">
      <c r="A36" s="172" t="s">
        <v>95</v>
      </c>
      <c r="B36" s="158">
        <v>15</v>
      </c>
      <c r="C36" s="173">
        <v>12</v>
      </c>
      <c r="D36" s="158"/>
      <c r="E36" s="158"/>
      <c r="F36" s="174">
        <f t="shared" si="0"/>
        <v>27</v>
      </c>
      <c r="G36" s="175">
        <f t="shared" si="1"/>
        <v>13.5</v>
      </c>
      <c r="H36" s="176">
        <f t="shared" si="2"/>
        <v>7.4425271514416455E-2</v>
      </c>
    </row>
    <row r="37" spans="1:8" ht="15">
      <c r="A37" s="172" t="s">
        <v>96</v>
      </c>
      <c r="B37" s="158">
        <v>2</v>
      </c>
      <c r="C37" s="173">
        <v>1</v>
      </c>
      <c r="D37" s="158"/>
      <c r="E37" s="158"/>
      <c r="F37" s="174">
        <f t="shared" si="0"/>
        <v>3</v>
      </c>
      <c r="G37" s="175">
        <f t="shared" si="1"/>
        <v>1.5</v>
      </c>
      <c r="H37" s="176">
        <f t="shared" si="2"/>
        <v>8.2694746127129383E-3</v>
      </c>
    </row>
    <row r="38" spans="1:8" ht="15">
      <c r="A38" s="172" t="s">
        <v>97</v>
      </c>
      <c r="B38" s="158">
        <v>2</v>
      </c>
      <c r="C38" s="173">
        <v>2</v>
      </c>
      <c r="D38" s="158"/>
      <c r="E38" s="158"/>
      <c r="F38" s="174">
        <f t="shared" si="0"/>
        <v>4</v>
      </c>
      <c r="G38" s="175">
        <f t="shared" si="1"/>
        <v>2</v>
      </c>
      <c r="H38" s="176">
        <f t="shared" si="2"/>
        <v>1.1025966150283919E-2</v>
      </c>
    </row>
    <row r="39" spans="1:8" ht="15">
      <c r="A39" s="172" t="s">
        <v>98</v>
      </c>
      <c r="B39" s="158">
        <v>0</v>
      </c>
      <c r="C39" s="173">
        <v>0</v>
      </c>
      <c r="D39" s="158"/>
      <c r="E39" s="158"/>
      <c r="F39" s="174">
        <f t="shared" si="0"/>
        <v>0</v>
      </c>
      <c r="G39" s="175">
        <f t="shared" si="1"/>
        <v>0</v>
      </c>
      <c r="H39" s="176">
        <f t="shared" si="2"/>
        <v>0</v>
      </c>
    </row>
    <row r="40" spans="1:8" ht="15">
      <c r="A40" s="178" t="s">
        <v>99</v>
      </c>
      <c r="B40" s="158">
        <v>12</v>
      </c>
      <c r="C40" s="173">
        <v>8</v>
      </c>
      <c r="D40" s="158"/>
      <c r="E40" s="158"/>
      <c r="F40" s="174">
        <f t="shared" si="0"/>
        <v>20</v>
      </c>
      <c r="G40" s="175">
        <f t="shared" si="1"/>
        <v>10</v>
      </c>
      <c r="H40" s="176">
        <f t="shared" si="2"/>
        <v>5.5129830751419598E-2</v>
      </c>
    </row>
    <row r="41" spans="1:8" ht="15">
      <c r="A41" s="172" t="s">
        <v>100</v>
      </c>
      <c r="B41" s="158">
        <v>158</v>
      </c>
      <c r="C41" s="173">
        <v>158</v>
      </c>
      <c r="D41" s="158"/>
      <c r="E41" s="158"/>
      <c r="F41" s="174">
        <f t="shared" si="0"/>
        <v>316</v>
      </c>
      <c r="G41" s="175">
        <f t="shared" si="1"/>
        <v>158</v>
      </c>
      <c r="H41" s="176">
        <f t="shared" si="2"/>
        <v>0.8710513258724295</v>
      </c>
    </row>
    <row r="42" spans="1:8" ht="15">
      <c r="A42" s="172" t="s">
        <v>101</v>
      </c>
      <c r="B42" s="158">
        <v>43</v>
      </c>
      <c r="C42" s="173">
        <v>57</v>
      </c>
      <c r="D42" s="158"/>
      <c r="E42" s="158"/>
      <c r="F42" s="174">
        <f t="shared" si="0"/>
        <v>100</v>
      </c>
      <c r="G42" s="175">
        <f t="shared" si="1"/>
        <v>50</v>
      </c>
      <c r="H42" s="176">
        <f t="shared" si="2"/>
        <v>0.27564915375709798</v>
      </c>
    </row>
    <row r="43" spans="1:8" ht="15">
      <c r="A43" s="172" t="s">
        <v>48</v>
      </c>
      <c r="B43" s="158">
        <v>977</v>
      </c>
      <c r="C43" s="173">
        <v>986</v>
      </c>
      <c r="D43" s="158"/>
      <c r="E43" s="158"/>
      <c r="F43" s="174">
        <f t="shared" si="0"/>
        <v>1963</v>
      </c>
      <c r="G43" s="175">
        <f t="shared" si="1"/>
        <v>981.5</v>
      </c>
      <c r="H43" s="176">
        <f t="shared" si="2"/>
        <v>5.4109928882518332</v>
      </c>
    </row>
    <row r="44" spans="1:8" ht="15">
      <c r="A44" s="172" t="s">
        <v>102</v>
      </c>
      <c r="B44" s="158">
        <v>2</v>
      </c>
      <c r="C44" s="173">
        <v>1</v>
      </c>
      <c r="D44" s="158"/>
      <c r="E44" s="158"/>
      <c r="F44" s="174">
        <f t="shared" si="0"/>
        <v>3</v>
      </c>
      <c r="G44" s="175">
        <f t="shared" si="1"/>
        <v>1.5</v>
      </c>
      <c r="H44" s="176">
        <f t="shared" si="2"/>
        <v>8.2694746127129383E-3</v>
      </c>
    </row>
    <row r="45" spans="1:8" ht="15">
      <c r="A45" s="172" t="s">
        <v>103</v>
      </c>
      <c r="B45" s="158">
        <v>0</v>
      </c>
      <c r="C45" s="173">
        <v>0</v>
      </c>
      <c r="D45" s="158"/>
      <c r="E45" s="158"/>
      <c r="F45" s="174">
        <f t="shared" si="0"/>
        <v>0</v>
      </c>
      <c r="G45" s="175">
        <f t="shared" si="1"/>
        <v>0</v>
      </c>
      <c r="H45" s="176">
        <f t="shared" si="2"/>
        <v>0</v>
      </c>
    </row>
    <row r="46" spans="1:8" ht="15">
      <c r="A46" s="172" t="s">
        <v>56</v>
      </c>
      <c r="B46" s="158">
        <v>616</v>
      </c>
      <c r="C46" s="173">
        <v>397</v>
      </c>
      <c r="D46" s="158"/>
      <c r="E46" s="158"/>
      <c r="F46" s="174">
        <f t="shared" si="0"/>
        <v>1013</v>
      </c>
      <c r="G46" s="175">
        <f t="shared" si="1"/>
        <v>506.5</v>
      </c>
      <c r="H46" s="176">
        <f t="shared" si="2"/>
        <v>2.7923259275594026</v>
      </c>
    </row>
    <row r="47" spans="1:8" ht="15">
      <c r="A47" s="172" t="s">
        <v>104</v>
      </c>
      <c r="B47" s="158">
        <v>3</v>
      </c>
      <c r="C47" s="173">
        <v>8</v>
      </c>
      <c r="D47" s="158"/>
      <c r="E47" s="158"/>
      <c r="F47" s="174">
        <f t="shared" si="0"/>
        <v>11</v>
      </c>
      <c r="G47" s="175">
        <f t="shared" si="1"/>
        <v>5.5</v>
      </c>
      <c r="H47" s="176">
        <f t="shared" si="2"/>
        <v>3.0321406913280776E-2</v>
      </c>
    </row>
    <row r="48" spans="1:8" ht="15">
      <c r="A48" s="172" t="s">
        <v>105</v>
      </c>
      <c r="B48" s="158">
        <v>488</v>
      </c>
      <c r="C48" s="173">
        <v>485</v>
      </c>
      <c r="D48" s="158"/>
      <c r="E48" s="158"/>
      <c r="F48" s="174">
        <f t="shared" si="0"/>
        <v>973</v>
      </c>
      <c r="G48" s="175">
        <f t="shared" si="1"/>
        <v>486.5</v>
      </c>
      <c r="H48" s="176">
        <f t="shared" si="2"/>
        <v>2.6820662660565633</v>
      </c>
    </row>
    <row r="49" spans="1:8" ht="15">
      <c r="A49" s="172" t="s">
        <v>106</v>
      </c>
      <c r="B49" s="158">
        <v>559</v>
      </c>
      <c r="C49" s="173">
        <v>397</v>
      </c>
      <c r="D49" s="158"/>
      <c r="E49" s="158"/>
      <c r="F49" s="174">
        <f t="shared" si="0"/>
        <v>956</v>
      </c>
      <c r="G49" s="175">
        <f t="shared" si="1"/>
        <v>478</v>
      </c>
      <c r="H49" s="176">
        <f t="shared" si="2"/>
        <v>2.6352059099178566</v>
      </c>
    </row>
    <row r="50" spans="1:8" ht="15">
      <c r="A50" s="172" t="s">
        <v>107</v>
      </c>
      <c r="B50" s="158">
        <v>2</v>
      </c>
      <c r="C50" s="173">
        <v>7</v>
      </c>
      <c r="D50" s="158"/>
      <c r="E50" s="158"/>
      <c r="F50" s="174">
        <f t="shared" si="0"/>
        <v>9</v>
      </c>
      <c r="G50" s="175">
        <f t="shared" si="1"/>
        <v>4.5</v>
      </c>
      <c r="H50" s="176">
        <f t="shared" si="2"/>
        <v>2.4808423838138818E-2</v>
      </c>
    </row>
    <row r="51" spans="1:8" ht="15">
      <c r="A51" s="172" t="s">
        <v>108</v>
      </c>
      <c r="B51" s="158">
        <v>202</v>
      </c>
      <c r="C51" s="173">
        <v>102</v>
      </c>
      <c r="D51" s="158"/>
      <c r="E51" s="158"/>
      <c r="F51" s="174">
        <f t="shared" si="0"/>
        <v>304</v>
      </c>
      <c r="G51" s="175">
        <f t="shared" si="1"/>
        <v>152</v>
      </c>
      <c r="H51" s="176">
        <f t="shared" si="2"/>
        <v>0.83797342742157788</v>
      </c>
    </row>
    <row r="52" spans="1:8" ht="15">
      <c r="A52" s="172" t="s">
        <v>109</v>
      </c>
      <c r="B52" s="158">
        <v>8</v>
      </c>
      <c r="C52" s="173">
        <v>5</v>
      </c>
      <c r="D52" s="158"/>
      <c r="E52" s="158"/>
      <c r="F52" s="174">
        <f t="shared" si="0"/>
        <v>13</v>
      </c>
      <c r="G52" s="175">
        <f t="shared" si="1"/>
        <v>6.5</v>
      </c>
      <c r="H52" s="176">
        <f t="shared" si="2"/>
        <v>3.5834389988422734E-2</v>
      </c>
    </row>
    <row r="53" spans="1:8" ht="15">
      <c r="A53" s="172" t="s">
        <v>110</v>
      </c>
      <c r="B53" s="158">
        <v>0</v>
      </c>
      <c r="C53" s="173">
        <v>1</v>
      </c>
      <c r="D53" s="158"/>
      <c r="E53" s="158"/>
      <c r="F53" s="174">
        <f t="shared" si="0"/>
        <v>1</v>
      </c>
      <c r="G53" s="175">
        <f t="shared" si="1"/>
        <v>0.5</v>
      </c>
      <c r="H53" s="176">
        <f t="shared" si="2"/>
        <v>2.7564915375709797E-3</v>
      </c>
    </row>
    <row r="54" spans="1:8" ht="15">
      <c r="A54" s="172" t="s">
        <v>111</v>
      </c>
      <c r="B54" s="158">
        <v>20</v>
      </c>
      <c r="C54" s="173">
        <v>23</v>
      </c>
      <c r="D54" s="158"/>
      <c r="E54" s="158"/>
      <c r="F54" s="174">
        <f t="shared" si="0"/>
        <v>43</v>
      </c>
      <c r="G54" s="175">
        <f t="shared" si="1"/>
        <v>21.5</v>
      </c>
      <c r="H54" s="176">
        <f t="shared" si="2"/>
        <v>0.11852913611555213</v>
      </c>
    </row>
    <row r="55" spans="1:8" ht="15">
      <c r="A55" s="178" t="s">
        <v>112</v>
      </c>
      <c r="B55" s="158">
        <v>57</v>
      </c>
      <c r="C55" s="173">
        <v>78</v>
      </c>
      <c r="D55" s="158"/>
      <c r="E55" s="158"/>
      <c r="F55" s="174">
        <f t="shared" si="0"/>
        <v>135</v>
      </c>
      <c r="G55" s="175">
        <f t="shared" si="1"/>
        <v>67.5</v>
      </c>
      <c r="H55" s="176">
        <f t="shared" si="2"/>
        <v>0.37212635757208223</v>
      </c>
    </row>
    <row r="56" spans="1:8" ht="15">
      <c r="A56" s="172" t="s">
        <v>113</v>
      </c>
      <c r="B56" s="158">
        <v>75</v>
      </c>
      <c r="C56" s="173">
        <v>56</v>
      </c>
      <c r="D56" s="158"/>
      <c r="E56" s="158"/>
      <c r="F56" s="174">
        <f t="shared" si="0"/>
        <v>131</v>
      </c>
      <c r="G56" s="175">
        <f t="shared" si="1"/>
        <v>65.5</v>
      </c>
      <c r="H56" s="176">
        <f t="shared" si="2"/>
        <v>0.36110039142179834</v>
      </c>
    </row>
    <row r="57" spans="1:8" ht="15">
      <c r="A57" s="172" t="s">
        <v>114</v>
      </c>
      <c r="B57" s="158">
        <v>28</v>
      </c>
      <c r="C57" s="173">
        <v>43</v>
      </c>
      <c r="D57" s="158"/>
      <c r="E57" s="158"/>
      <c r="F57" s="174">
        <f t="shared" si="0"/>
        <v>71</v>
      </c>
      <c r="G57" s="175">
        <f t="shared" si="1"/>
        <v>35.5</v>
      </c>
      <c r="H57" s="176">
        <f t="shared" si="2"/>
        <v>0.19571089916753953</v>
      </c>
    </row>
    <row r="58" spans="1:8" ht="15">
      <c r="A58" s="172" t="s">
        <v>115</v>
      </c>
      <c r="B58" s="158">
        <v>2</v>
      </c>
      <c r="C58" s="173">
        <v>1</v>
      </c>
      <c r="D58" s="158"/>
      <c r="E58" s="158"/>
      <c r="F58" s="174">
        <f t="shared" si="0"/>
        <v>3</v>
      </c>
      <c r="G58" s="175">
        <f t="shared" si="1"/>
        <v>1.5</v>
      </c>
      <c r="H58" s="176">
        <f t="shared" si="2"/>
        <v>8.2694746127129383E-3</v>
      </c>
    </row>
    <row r="59" spans="1:8" ht="15">
      <c r="A59" s="172" t="s">
        <v>116</v>
      </c>
      <c r="B59" s="158">
        <v>21</v>
      </c>
      <c r="C59" s="173">
        <v>18</v>
      </c>
      <c r="D59" s="158"/>
      <c r="E59" s="158"/>
      <c r="F59" s="174">
        <f t="shared" si="0"/>
        <v>39</v>
      </c>
      <c r="G59" s="175">
        <f t="shared" si="1"/>
        <v>19.5</v>
      </c>
      <c r="H59" s="176">
        <f t="shared" si="2"/>
        <v>0.10750316996526821</v>
      </c>
    </row>
    <row r="60" spans="1:8" ht="15">
      <c r="A60" s="172" t="s">
        <v>117</v>
      </c>
      <c r="B60" s="158">
        <v>1</v>
      </c>
      <c r="C60" s="173">
        <v>0</v>
      </c>
      <c r="D60" s="158"/>
      <c r="E60" s="158"/>
      <c r="F60" s="174">
        <f t="shared" si="0"/>
        <v>1</v>
      </c>
      <c r="G60" s="175">
        <f t="shared" si="1"/>
        <v>0.5</v>
      </c>
      <c r="H60" s="176">
        <f t="shared" si="2"/>
        <v>2.7564915375709797E-3</v>
      </c>
    </row>
    <row r="61" spans="1:8" ht="15">
      <c r="A61" s="172" t="s">
        <v>118</v>
      </c>
      <c r="B61" s="158">
        <v>250</v>
      </c>
      <c r="C61" s="173">
        <v>264</v>
      </c>
      <c r="D61" s="158"/>
      <c r="E61" s="158"/>
      <c r="F61" s="174">
        <f t="shared" si="0"/>
        <v>514</v>
      </c>
      <c r="G61" s="175">
        <f t="shared" si="1"/>
        <v>257</v>
      </c>
      <c r="H61" s="176">
        <f t="shared" si="2"/>
        <v>1.4168366503114835</v>
      </c>
    </row>
    <row r="62" spans="1:8" ht="15">
      <c r="A62" s="172" t="s">
        <v>119</v>
      </c>
      <c r="B62" s="158">
        <v>123</v>
      </c>
      <c r="C62" s="173">
        <v>52</v>
      </c>
      <c r="D62" s="158"/>
      <c r="E62" s="158"/>
      <c r="F62" s="174">
        <f t="shared" si="0"/>
        <v>175</v>
      </c>
      <c r="G62" s="175">
        <f t="shared" si="1"/>
        <v>87.5</v>
      </c>
      <c r="H62" s="176">
        <f t="shared" si="2"/>
        <v>0.4823860190749214</v>
      </c>
    </row>
    <row r="63" spans="1:8" ht="15">
      <c r="A63" s="172" t="s">
        <v>120</v>
      </c>
      <c r="B63" s="158">
        <v>112</v>
      </c>
      <c r="C63" s="173">
        <v>60</v>
      </c>
      <c r="D63" s="158"/>
      <c r="E63" s="158"/>
      <c r="F63" s="174">
        <f t="shared" si="0"/>
        <v>172</v>
      </c>
      <c r="G63" s="175">
        <f t="shared" si="1"/>
        <v>86</v>
      </c>
      <c r="H63" s="176">
        <f t="shared" si="2"/>
        <v>0.47411654446220852</v>
      </c>
    </row>
    <row r="64" spans="1:8" ht="15">
      <c r="A64" s="172" t="s">
        <v>121</v>
      </c>
      <c r="B64" s="158">
        <v>1</v>
      </c>
      <c r="C64" s="173">
        <v>1</v>
      </c>
      <c r="D64" s="158"/>
      <c r="E64" s="158"/>
      <c r="F64" s="174">
        <f t="shared" si="0"/>
        <v>2</v>
      </c>
      <c r="G64" s="175">
        <f t="shared" si="1"/>
        <v>1</v>
      </c>
      <c r="H64" s="176">
        <f t="shared" si="2"/>
        <v>5.5129830751419594E-3</v>
      </c>
    </row>
    <row r="65" spans="1:8" ht="15">
      <c r="A65" s="172" t="s">
        <v>122</v>
      </c>
      <c r="B65" s="158">
        <v>44</v>
      </c>
      <c r="C65" s="173">
        <v>34</v>
      </c>
      <c r="D65" s="158"/>
      <c r="E65" s="158"/>
      <c r="F65" s="174">
        <f t="shared" si="0"/>
        <v>78</v>
      </c>
      <c r="G65" s="175">
        <f t="shared" si="1"/>
        <v>39</v>
      </c>
      <c r="H65" s="176">
        <f t="shared" si="2"/>
        <v>0.21500633993053642</v>
      </c>
    </row>
    <row r="66" spans="1:8" ht="15">
      <c r="A66" s="172" t="s">
        <v>123</v>
      </c>
      <c r="B66" s="158">
        <v>4</v>
      </c>
      <c r="C66" s="173">
        <v>20</v>
      </c>
      <c r="D66" s="158"/>
      <c r="E66" s="158"/>
      <c r="F66" s="174">
        <f t="shared" si="0"/>
        <v>24</v>
      </c>
      <c r="G66" s="175">
        <f t="shared" si="1"/>
        <v>12</v>
      </c>
      <c r="H66" s="176">
        <f t="shared" si="2"/>
        <v>6.6155796901703506E-2</v>
      </c>
    </row>
    <row r="67" spans="1:8" ht="15">
      <c r="A67" s="172" t="s">
        <v>124</v>
      </c>
      <c r="B67" s="158">
        <v>0</v>
      </c>
      <c r="C67" s="173">
        <v>0</v>
      </c>
      <c r="D67" s="158"/>
      <c r="E67" s="158"/>
      <c r="F67" s="174">
        <f t="shared" si="0"/>
        <v>0</v>
      </c>
      <c r="G67" s="175">
        <f t="shared" si="1"/>
        <v>0</v>
      </c>
      <c r="H67" s="176">
        <f t="shared" si="2"/>
        <v>0</v>
      </c>
    </row>
    <row r="68" spans="1:8" ht="15">
      <c r="A68" s="172" t="s">
        <v>125</v>
      </c>
      <c r="B68" s="158">
        <v>0</v>
      </c>
      <c r="C68" s="173">
        <v>0</v>
      </c>
      <c r="D68" s="158"/>
      <c r="E68" s="158"/>
      <c r="F68" s="174">
        <f t="shared" si="0"/>
        <v>0</v>
      </c>
      <c r="G68" s="175">
        <f t="shared" si="1"/>
        <v>0</v>
      </c>
      <c r="H68" s="176">
        <f t="shared" si="2"/>
        <v>0</v>
      </c>
    </row>
    <row r="69" spans="1:8" ht="15">
      <c r="A69" s="172" t="s">
        <v>126</v>
      </c>
      <c r="B69" s="158">
        <v>50</v>
      </c>
      <c r="C69" s="173">
        <v>57</v>
      </c>
      <c r="D69" s="158"/>
      <c r="E69" s="158"/>
      <c r="F69" s="174">
        <f t="shared" ref="F69:F132" si="3">SUM(B69:E69)</f>
        <v>107</v>
      </c>
      <c r="G69" s="175">
        <f t="shared" ref="G69:G132" si="4">AVERAGE(B69:E69)</f>
        <v>53.5</v>
      </c>
      <c r="H69" s="176">
        <f t="shared" ref="H69:H132" si="5">(F69/$F$252)*100</f>
        <v>0.2949445945200948</v>
      </c>
    </row>
    <row r="70" spans="1:8" ht="15">
      <c r="A70" s="172" t="s">
        <v>127</v>
      </c>
      <c r="B70" s="158">
        <v>141</v>
      </c>
      <c r="C70" s="173">
        <v>124</v>
      </c>
      <c r="D70" s="158"/>
      <c r="E70" s="158"/>
      <c r="F70" s="174">
        <f t="shared" si="3"/>
        <v>265</v>
      </c>
      <c r="G70" s="175">
        <f t="shared" si="4"/>
        <v>132.5</v>
      </c>
      <c r="H70" s="176">
        <f t="shared" si="5"/>
        <v>0.73047025745630967</v>
      </c>
    </row>
    <row r="71" spans="1:8" ht="15">
      <c r="A71" s="172" t="s">
        <v>128</v>
      </c>
      <c r="B71" s="158">
        <v>6</v>
      </c>
      <c r="C71" s="173">
        <v>7</v>
      </c>
      <c r="D71" s="158"/>
      <c r="E71" s="158"/>
      <c r="F71" s="174">
        <f t="shared" si="3"/>
        <v>13</v>
      </c>
      <c r="G71" s="175">
        <f t="shared" si="4"/>
        <v>6.5</v>
      </c>
      <c r="H71" s="176">
        <f t="shared" si="5"/>
        <v>3.5834389988422734E-2</v>
      </c>
    </row>
    <row r="72" spans="1:8" ht="15">
      <c r="A72" s="172" t="s">
        <v>129</v>
      </c>
      <c r="B72" s="158">
        <v>27</v>
      </c>
      <c r="C72" s="173">
        <v>25</v>
      </c>
      <c r="D72" s="158"/>
      <c r="E72" s="158"/>
      <c r="F72" s="174">
        <f t="shared" si="3"/>
        <v>52</v>
      </c>
      <c r="G72" s="175">
        <f t="shared" si="4"/>
        <v>26</v>
      </c>
      <c r="H72" s="176">
        <f t="shared" si="5"/>
        <v>0.14333755995369094</v>
      </c>
    </row>
    <row r="73" spans="1:8" ht="15">
      <c r="A73" s="172" t="s">
        <v>130</v>
      </c>
      <c r="B73" s="158">
        <v>0</v>
      </c>
      <c r="C73" s="173">
        <v>1</v>
      </c>
      <c r="D73" s="158"/>
      <c r="E73" s="158"/>
      <c r="F73" s="174">
        <f t="shared" si="3"/>
        <v>1</v>
      </c>
      <c r="G73" s="175">
        <f t="shared" si="4"/>
        <v>0.5</v>
      </c>
      <c r="H73" s="176">
        <f t="shared" si="5"/>
        <v>2.7564915375709797E-3</v>
      </c>
    </row>
    <row r="74" spans="1:8" ht="15">
      <c r="A74" s="172" t="s">
        <v>131</v>
      </c>
      <c r="B74" s="158">
        <v>48</v>
      </c>
      <c r="C74" s="173">
        <v>46</v>
      </c>
      <c r="D74" s="158"/>
      <c r="E74" s="158"/>
      <c r="F74" s="174">
        <f t="shared" si="3"/>
        <v>94</v>
      </c>
      <c r="G74" s="175">
        <f t="shared" si="4"/>
        <v>47</v>
      </c>
      <c r="H74" s="176">
        <f t="shared" si="5"/>
        <v>0.25911020453167211</v>
      </c>
    </row>
    <row r="75" spans="1:8" ht="15">
      <c r="A75" s="172" t="s">
        <v>132</v>
      </c>
      <c r="B75" s="158">
        <v>23</v>
      </c>
      <c r="C75" s="173">
        <v>19</v>
      </c>
      <c r="D75" s="158"/>
      <c r="E75" s="158"/>
      <c r="F75" s="174">
        <f t="shared" si="3"/>
        <v>42</v>
      </c>
      <c r="G75" s="175">
        <f t="shared" si="4"/>
        <v>21</v>
      </c>
      <c r="H75" s="176">
        <f t="shared" si="5"/>
        <v>0.11577264457798114</v>
      </c>
    </row>
    <row r="76" spans="1:8" ht="15">
      <c r="A76" s="172" t="s">
        <v>133</v>
      </c>
      <c r="B76" s="158">
        <v>35</v>
      </c>
      <c r="C76" s="173">
        <v>23</v>
      </c>
      <c r="D76" s="158"/>
      <c r="E76" s="158"/>
      <c r="F76" s="174">
        <f t="shared" si="3"/>
        <v>58</v>
      </c>
      <c r="G76" s="175">
        <f t="shared" si="4"/>
        <v>29</v>
      </c>
      <c r="H76" s="176">
        <f t="shared" si="5"/>
        <v>0.15987650917911683</v>
      </c>
    </row>
    <row r="77" spans="1:8" ht="15">
      <c r="A77" s="172" t="s">
        <v>134</v>
      </c>
      <c r="B77" s="158">
        <v>202</v>
      </c>
      <c r="C77" s="173">
        <v>308</v>
      </c>
      <c r="D77" s="158"/>
      <c r="E77" s="158"/>
      <c r="F77" s="174">
        <f t="shared" si="3"/>
        <v>510</v>
      </c>
      <c r="G77" s="175">
        <f t="shared" si="4"/>
        <v>255</v>
      </c>
      <c r="H77" s="176">
        <f t="shared" si="5"/>
        <v>1.4058106841611997</v>
      </c>
    </row>
    <row r="78" spans="1:8" ht="15">
      <c r="A78" s="172" t="s">
        <v>135</v>
      </c>
      <c r="B78" s="158">
        <v>221</v>
      </c>
      <c r="C78" s="173">
        <v>152</v>
      </c>
      <c r="D78" s="158"/>
      <c r="E78" s="158"/>
      <c r="F78" s="174">
        <f t="shared" si="3"/>
        <v>373</v>
      </c>
      <c r="G78" s="175">
        <f t="shared" si="4"/>
        <v>186.5</v>
      </c>
      <c r="H78" s="176">
        <f t="shared" si="5"/>
        <v>1.0281713435139754</v>
      </c>
    </row>
    <row r="79" spans="1:8" ht="15">
      <c r="A79" s="172" t="s">
        <v>136</v>
      </c>
      <c r="B79" s="158">
        <v>45</v>
      </c>
      <c r="C79" s="173">
        <v>47</v>
      </c>
      <c r="D79" s="158"/>
      <c r="E79" s="158"/>
      <c r="F79" s="174">
        <f t="shared" si="3"/>
        <v>92</v>
      </c>
      <c r="G79" s="175">
        <f t="shared" si="4"/>
        <v>46</v>
      </c>
      <c r="H79" s="176">
        <f t="shared" si="5"/>
        <v>0.25359722145653013</v>
      </c>
    </row>
    <row r="80" spans="1:8" ht="15">
      <c r="A80" s="172" t="s">
        <v>137</v>
      </c>
      <c r="B80" s="158">
        <v>32</v>
      </c>
      <c r="C80" s="173">
        <v>48</v>
      </c>
      <c r="D80" s="158"/>
      <c r="E80" s="158"/>
      <c r="F80" s="174">
        <f t="shared" si="3"/>
        <v>80</v>
      </c>
      <c r="G80" s="175">
        <f t="shared" si="4"/>
        <v>40</v>
      </c>
      <c r="H80" s="176">
        <f t="shared" si="5"/>
        <v>0.22051932300567839</v>
      </c>
    </row>
    <row r="81" spans="1:8" ht="15">
      <c r="A81" s="172" t="s">
        <v>138</v>
      </c>
      <c r="B81" s="158">
        <v>1</v>
      </c>
      <c r="C81" s="173">
        <v>0</v>
      </c>
      <c r="D81" s="158"/>
      <c r="E81" s="158"/>
      <c r="F81" s="174">
        <f t="shared" si="3"/>
        <v>1</v>
      </c>
      <c r="G81" s="175">
        <f t="shared" si="4"/>
        <v>0.5</v>
      </c>
      <c r="H81" s="176">
        <f t="shared" si="5"/>
        <v>2.7564915375709797E-3</v>
      </c>
    </row>
    <row r="82" spans="1:8" ht="15">
      <c r="A82" s="172" t="s">
        <v>139</v>
      </c>
      <c r="B82" s="158">
        <v>125</v>
      </c>
      <c r="C82" s="173">
        <v>44</v>
      </c>
      <c r="D82" s="158"/>
      <c r="E82" s="158"/>
      <c r="F82" s="174">
        <f t="shared" si="3"/>
        <v>169</v>
      </c>
      <c r="G82" s="175">
        <f t="shared" si="4"/>
        <v>84.5</v>
      </c>
      <c r="H82" s="176">
        <f t="shared" si="5"/>
        <v>0.46584706984949559</v>
      </c>
    </row>
    <row r="83" spans="1:8" ht="15">
      <c r="A83" s="172" t="s">
        <v>140</v>
      </c>
      <c r="B83" s="158">
        <v>107</v>
      </c>
      <c r="C83" s="173">
        <v>63</v>
      </c>
      <c r="D83" s="158"/>
      <c r="E83" s="158"/>
      <c r="F83" s="174">
        <f t="shared" si="3"/>
        <v>170</v>
      </c>
      <c r="G83" s="175">
        <f t="shared" si="4"/>
        <v>85</v>
      </c>
      <c r="H83" s="176">
        <f t="shared" si="5"/>
        <v>0.46860356138706649</v>
      </c>
    </row>
    <row r="84" spans="1:8" ht="15">
      <c r="A84" s="172" t="s">
        <v>141</v>
      </c>
      <c r="B84" s="158">
        <v>11</v>
      </c>
      <c r="C84" s="173">
        <v>16</v>
      </c>
      <c r="D84" s="158"/>
      <c r="E84" s="158"/>
      <c r="F84" s="174">
        <f t="shared" si="3"/>
        <v>27</v>
      </c>
      <c r="G84" s="175">
        <f t="shared" si="4"/>
        <v>13.5</v>
      </c>
      <c r="H84" s="176">
        <f t="shared" si="5"/>
        <v>7.4425271514416455E-2</v>
      </c>
    </row>
    <row r="85" spans="1:8" ht="15">
      <c r="A85" s="172" t="s">
        <v>142</v>
      </c>
      <c r="B85" s="158">
        <v>2</v>
      </c>
      <c r="C85" s="173">
        <v>3</v>
      </c>
      <c r="D85" s="158"/>
      <c r="E85" s="158"/>
      <c r="F85" s="174">
        <f t="shared" si="3"/>
        <v>5</v>
      </c>
      <c r="G85" s="175">
        <f t="shared" si="4"/>
        <v>2.5</v>
      </c>
      <c r="H85" s="176">
        <f t="shared" si="5"/>
        <v>1.3782457687854899E-2</v>
      </c>
    </row>
    <row r="86" spans="1:8" ht="15">
      <c r="A86" s="172" t="s">
        <v>143</v>
      </c>
      <c r="B86" s="158">
        <v>5</v>
      </c>
      <c r="C86" s="173">
        <v>2</v>
      </c>
      <c r="D86" s="158"/>
      <c r="E86" s="158"/>
      <c r="F86" s="174">
        <f t="shared" si="3"/>
        <v>7</v>
      </c>
      <c r="G86" s="175">
        <f t="shared" si="4"/>
        <v>3.5</v>
      </c>
      <c r="H86" s="176">
        <f t="shared" si="5"/>
        <v>1.9295440762996857E-2</v>
      </c>
    </row>
    <row r="87" spans="1:8" ht="15">
      <c r="A87" s="172" t="s">
        <v>144</v>
      </c>
      <c r="B87" s="158">
        <v>0</v>
      </c>
      <c r="C87" s="173">
        <v>0</v>
      </c>
      <c r="D87" s="158"/>
      <c r="E87" s="158"/>
      <c r="F87" s="174">
        <f t="shared" si="3"/>
        <v>0</v>
      </c>
      <c r="G87" s="175">
        <f t="shared" si="4"/>
        <v>0</v>
      </c>
      <c r="H87" s="176">
        <f t="shared" si="5"/>
        <v>0</v>
      </c>
    </row>
    <row r="88" spans="1:8" ht="15">
      <c r="A88" s="172" t="s">
        <v>145</v>
      </c>
      <c r="B88" s="158">
        <v>4</v>
      </c>
      <c r="C88" s="173">
        <v>2</v>
      </c>
      <c r="D88" s="158"/>
      <c r="E88" s="158"/>
      <c r="F88" s="174">
        <f t="shared" si="3"/>
        <v>6</v>
      </c>
      <c r="G88" s="175">
        <f t="shared" si="4"/>
        <v>3</v>
      </c>
      <c r="H88" s="176">
        <f t="shared" si="5"/>
        <v>1.6538949225425877E-2</v>
      </c>
    </row>
    <row r="89" spans="1:8" ht="15">
      <c r="A89" s="172" t="s">
        <v>146</v>
      </c>
      <c r="B89" s="158">
        <v>0</v>
      </c>
      <c r="C89" s="173">
        <v>0</v>
      </c>
      <c r="D89" s="158"/>
      <c r="E89" s="158"/>
      <c r="F89" s="174">
        <f t="shared" si="3"/>
        <v>0</v>
      </c>
      <c r="G89" s="175">
        <f t="shared" si="4"/>
        <v>0</v>
      </c>
      <c r="H89" s="176">
        <f t="shared" si="5"/>
        <v>0</v>
      </c>
    </row>
    <row r="90" spans="1:8" ht="15">
      <c r="A90" s="172" t="s">
        <v>147</v>
      </c>
      <c r="B90" s="158">
        <v>3</v>
      </c>
      <c r="C90" s="173">
        <v>5</v>
      </c>
      <c r="D90" s="158"/>
      <c r="E90" s="158"/>
      <c r="F90" s="174">
        <f t="shared" si="3"/>
        <v>8</v>
      </c>
      <c r="G90" s="175">
        <f t="shared" si="4"/>
        <v>4</v>
      </c>
      <c r="H90" s="176">
        <f t="shared" si="5"/>
        <v>2.2051932300567838E-2</v>
      </c>
    </row>
    <row r="91" spans="1:8" ht="15">
      <c r="A91" s="172" t="s">
        <v>148</v>
      </c>
      <c r="B91" s="158">
        <v>0</v>
      </c>
      <c r="C91" s="173">
        <v>1</v>
      </c>
      <c r="D91" s="158"/>
      <c r="E91" s="158"/>
      <c r="F91" s="174">
        <f t="shared" si="3"/>
        <v>1</v>
      </c>
      <c r="G91" s="175">
        <f t="shared" si="4"/>
        <v>0.5</v>
      </c>
      <c r="H91" s="176">
        <f t="shared" si="5"/>
        <v>2.7564915375709797E-3</v>
      </c>
    </row>
    <row r="92" spans="1:8" ht="15">
      <c r="A92" s="172" t="s">
        <v>149</v>
      </c>
      <c r="B92" s="158">
        <v>0</v>
      </c>
      <c r="C92" s="173">
        <v>0</v>
      </c>
      <c r="D92" s="158"/>
      <c r="E92" s="158"/>
      <c r="F92" s="174">
        <f t="shared" si="3"/>
        <v>0</v>
      </c>
      <c r="G92" s="175">
        <f t="shared" si="4"/>
        <v>0</v>
      </c>
      <c r="H92" s="176">
        <f t="shared" si="5"/>
        <v>0</v>
      </c>
    </row>
    <row r="93" spans="1:8" ht="15">
      <c r="A93" s="172" t="s">
        <v>150</v>
      </c>
      <c r="B93" s="158">
        <v>1</v>
      </c>
      <c r="C93" s="173">
        <v>1</v>
      </c>
      <c r="D93" s="158"/>
      <c r="E93" s="158"/>
      <c r="F93" s="174">
        <f t="shared" si="3"/>
        <v>2</v>
      </c>
      <c r="G93" s="175">
        <f t="shared" si="4"/>
        <v>1</v>
      </c>
      <c r="H93" s="176">
        <f t="shared" si="5"/>
        <v>5.5129830751419594E-3</v>
      </c>
    </row>
    <row r="94" spans="1:8" ht="15">
      <c r="A94" s="172" t="s">
        <v>151</v>
      </c>
      <c r="B94" s="158">
        <v>3</v>
      </c>
      <c r="C94" s="173">
        <v>1</v>
      </c>
      <c r="D94" s="158"/>
      <c r="E94" s="179"/>
      <c r="F94" s="174">
        <f t="shared" si="3"/>
        <v>4</v>
      </c>
      <c r="G94" s="175">
        <f t="shared" si="4"/>
        <v>2</v>
      </c>
      <c r="H94" s="176">
        <f t="shared" si="5"/>
        <v>1.1025966150283919E-2</v>
      </c>
    </row>
    <row r="95" spans="1:8" ht="15">
      <c r="A95" s="172" t="s">
        <v>152</v>
      </c>
      <c r="B95" s="158">
        <v>0</v>
      </c>
      <c r="C95" s="173">
        <v>1</v>
      </c>
      <c r="D95" s="158"/>
      <c r="E95" s="158"/>
      <c r="F95" s="174">
        <f t="shared" si="3"/>
        <v>1</v>
      </c>
      <c r="G95" s="175">
        <f t="shared" si="4"/>
        <v>0.5</v>
      </c>
      <c r="H95" s="176">
        <f t="shared" si="5"/>
        <v>2.7564915375709797E-3</v>
      </c>
    </row>
    <row r="96" spans="1:8" ht="15">
      <c r="A96" s="183" t="s">
        <v>153</v>
      </c>
      <c r="B96" s="158">
        <v>1</v>
      </c>
      <c r="C96" s="173">
        <v>0</v>
      </c>
      <c r="D96" s="158"/>
      <c r="E96" s="158"/>
      <c r="F96" s="174">
        <f t="shared" si="3"/>
        <v>1</v>
      </c>
      <c r="G96" s="175">
        <f t="shared" si="4"/>
        <v>0.5</v>
      </c>
      <c r="H96" s="176">
        <f t="shared" si="5"/>
        <v>2.7564915375709797E-3</v>
      </c>
    </row>
    <row r="97" spans="1:8" ht="15">
      <c r="A97" s="183" t="s">
        <v>154</v>
      </c>
      <c r="B97" s="158">
        <v>2</v>
      </c>
      <c r="C97" s="173">
        <v>1</v>
      </c>
      <c r="D97" s="158"/>
      <c r="E97" s="158"/>
      <c r="F97" s="174">
        <f t="shared" si="3"/>
        <v>3</v>
      </c>
      <c r="G97" s="175">
        <f t="shared" si="4"/>
        <v>1.5</v>
      </c>
      <c r="H97" s="176">
        <f t="shared" si="5"/>
        <v>8.2694746127129383E-3</v>
      </c>
    </row>
    <row r="98" spans="1:8" ht="15">
      <c r="A98" s="183" t="s">
        <v>155</v>
      </c>
      <c r="B98" s="158">
        <v>0</v>
      </c>
      <c r="C98" s="173">
        <v>2</v>
      </c>
      <c r="D98" s="158"/>
      <c r="E98" s="158"/>
      <c r="F98" s="174">
        <f t="shared" si="3"/>
        <v>2</v>
      </c>
      <c r="G98" s="175">
        <f t="shared" si="4"/>
        <v>1</v>
      </c>
      <c r="H98" s="176">
        <f t="shared" si="5"/>
        <v>5.5129830751419594E-3</v>
      </c>
    </row>
    <row r="99" spans="1:8" ht="15">
      <c r="A99" s="183" t="s">
        <v>156</v>
      </c>
      <c r="B99" s="158">
        <v>1</v>
      </c>
      <c r="C99" s="173">
        <v>0</v>
      </c>
      <c r="D99" s="158"/>
      <c r="E99" s="179"/>
      <c r="F99" s="174">
        <f t="shared" si="3"/>
        <v>1</v>
      </c>
      <c r="G99" s="175">
        <f t="shared" si="4"/>
        <v>0.5</v>
      </c>
      <c r="H99" s="176">
        <f t="shared" si="5"/>
        <v>2.7564915375709797E-3</v>
      </c>
    </row>
    <row r="100" spans="1:8" ht="15">
      <c r="A100" s="172" t="s">
        <v>157</v>
      </c>
      <c r="B100" s="158">
        <v>4</v>
      </c>
      <c r="C100" s="173">
        <v>0</v>
      </c>
      <c r="D100" s="158"/>
      <c r="E100" s="158"/>
      <c r="F100" s="174">
        <f t="shared" si="3"/>
        <v>4</v>
      </c>
      <c r="G100" s="175">
        <f t="shared" si="4"/>
        <v>2</v>
      </c>
      <c r="H100" s="176">
        <f t="shared" si="5"/>
        <v>1.1025966150283919E-2</v>
      </c>
    </row>
    <row r="101" spans="1:8" ht="15">
      <c r="A101" s="172" t="s">
        <v>158</v>
      </c>
      <c r="B101" s="158">
        <v>1</v>
      </c>
      <c r="C101" s="173">
        <v>0</v>
      </c>
      <c r="D101" s="158"/>
      <c r="E101" s="158"/>
      <c r="F101" s="174">
        <f t="shared" si="3"/>
        <v>1</v>
      </c>
      <c r="G101" s="175">
        <f t="shared" si="4"/>
        <v>0.5</v>
      </c>
      <c r="H101" s="176">
        <f t="shared" si="5"/>
        <v>2.7564915375709797E-3</v>
      </c>
    </row>
    <row r="102" spans="1:8" ht="15">
      <c r="A102" s="172" t="s">
        <v>159</v>
      </c>
      <c r="B102" s="158">
        <v>1</v>
      </c>
      <c r="C102" s="173">
        <v>1</v>
      </c>
      <c r="D102" s="158"/>
      <c r="E102" s="179"/>
      <c r="F102" s="174">
        <f t="shared" si="3"/>
        <v>2</v>
      </c>
      <c r="G102" s="175">
        <f t="shared" si="4"/>
        <v>1</v>
      </c>
      <c r="H102" s="176">
        <f t="shared" si="5"/>
        <v>5.5129830751419594E-3</v>
      </c>
    </row>
    <row r="103" spans="1:8" ht="15">
      <c r="A103" s="172" t="s">
        <v>160</v>
      </c>
      <c r="B103" s="158">
        <v>4</v>
      </c>
      <c r="C103" s="173">
        <v>1</v>
      </c>
      <c r="D103" s="158"/>
      <c r="E103" s="158"/>
      <c r="F103" s="174">
        <f t="shared" si="3"/>
        <v>5</v>
      </c>
      <c r="G103" s="175">
        <f t="shared" si="4"/>
        <v>2.5</v>
      </c>
      <c r="H103" s="176">
        <f t="shared" si="5"/>
        <v>1.3782457687854899E-2</v>
      </c>
    </row>
    <row r="104" spans="1:8" ht="15">
      <c r="A104" s="172" t="s">
        <v>161</v>
      </c>
      <c r="B104" s="158">
        <v>0</v>
      </c>
      <c r="C104" s="173">
        <v>0</v>
      </c>
      <c r="D104" s="158"/>
      <c r="E104" s="158"/>
      <c r="F104" s="174">
        <f t="shared" si="3"/>
        <v>0</v>
      </c>
      <c r="G104" s="175">
        <f t="shared" si="4"/>
        <v>0</v>
      </c>
      <c r="H104" s="176">
        <f t="shared" si="5"/>
        <v>0</v>
      </c>
    </row>
    <row r="105" spans="1:8" ht="15">
      <c r="A105" s="172" t="s">
        <v>162</v>
      </c>
      <c r="B105" s="158">
        <v>0</v>
      </c>
      <c r="C105" s="173">
        <v>0</v>
      </c>
      <c r="D105" s="158"/>
      <c r="E105" s="179"/>
      <c r="F105" s="174">
        <f t="shared" si="3"/>
        <v>0</v>
      </c>
      <c r="G105" s="175">
        <f t="shared" si="4"/>
        <v>0</v>
      </c>
      <c r="H105" s="176">
        <f t="shared" si="5"/>
        <v>0</v>
      </c>
    </row>
    <row r="106" spans="1:8" ht="15">
      <c r="A106" s="172" t="s">
        <v>163</v>
      </c>
      <c r="B106" s="158">
        <v>1</v>
      </c>
      <c r="C106" s="173">
        <v>0</v>
      </c>
      <c r="D106" s="158"/>
      <c r="E106" s="179"/>
      <c r="F106" s="174">
        <f t="shared" si="3"/>
        <v>1</v>
      </c>
      <c r="G106" s="175">
        <f t="shared" si="4"/>
        <v>0.5</v>
      </c>
      <c r="H106" s="176">
        <f t="shared" si="5"/>
        <v>2.7564915375709797E-3</v>
      </c>
    </row>
    <row r="107" spans="1:8" ht="15">
      <c r="A107" s="172" t="s">
        <v>164</v>
      </c>
      <c r="B107" s="158">
        <v>1</v>
      </c>
      <c r="C107" s="173">
        <v>0</v>
      </c>
      <c r="D107" s="158"/>
      <c r="E107" s="158"/>
      <c r="F107" s="174">
        <f t="shared" si="3"/>
        <v>1</v>
      </c>
      <c r="G107" s="175">
        <f t="shared" si="4"/>
        <v>0.5</v>
      </c>
      <c r="H107" s="176">
        <f t="shared" si="5"/>
        <v>2.7564915375709797E-3</v>
      </c>
    </row>
    <row r="108" spans="1:8" ht="15">
      <c r="A108" s="172" t="s">
        <v>165</v>
      </c>
      <c r="B108" s="158">
        <v>1</v>
      </c>
      <c r="C108" s="173">
        <v>0</v>
      </c>
      <c r="D108" s="158"/>
      <c r="E108" s="158"/>
      <c r="F108" s="174">
        <f t="shared" si="3"/>
        <v>1</v>
      </c>
      <c r="G108" s="175">
        <f t="shared" si="4"/>
        <v>0.5</v>
      </c>
      <c r="H108" s="176">
        <f t="shared" si="5"/>
        <v>2.7564915375709797E-3</v>
      </c>
    </row>
    <row r="109" spans="1:8" ht="15">
      <c r="A109" s="172" t="s">
        <v>166</v>
      </c>
      <c r="B109" s="158">
        <v>1</v>
      </c>
      <c r="C109" s="173">
        <v>0</v>
      </c>
      <c r="D109" s="158"/>
      <c r="E109" s="158"/>
      <c r="F109" s="174">
        <f t="shared" si="3"/>
        <v>1</v>
      </c>
      <c r="G109" s="175">
        <f t="shared" si="4"/>
        <v>0.5</v>
      </c>
      <c r="H109" s="176">
        <f t="shared" si="5"/>
        <v>2.7564915375709797E-3</v>
      </c>
    </row>
    <row r="110" spans="1:8" ht="15">
      <c r="A110" s="178" t="s">
        <v>167</v>
      </c>
      <c r="B110" s="158">
        <v>81</v>
      </c>
      <c r="C110" s="173">
        <v>50</v>
      </c>
      <c r="D110" s="158"/>
      <c r="E110" s="158"/>
      <c r="F110" s="174">
        <f t="shared" si="3"/>
        <v>131</v>
      </c>
      <c r="G110" s="175">
        <f t="shared" si="4"/>
        <v>65.5</v>
      </c>
      <c r="H110" s="176">
        <f t="shared" si="5"/>
        <v>0.36110039142179834</v>
      </c>
    </row>
    <row r="111" spans="1:8" ht="15">
      <c r="A111" s="172" t="s">
        <v>168</v>
      </c>
      <c r="B111" s="158">
        <v>125</v>
      </c>
      <c r="C111" s="173">
        <v>132</v>
      </c>
      <c r="D111" s="158"/>
      <c r="E111" s="158"/>
      <c r="F111" s="174">
        <f t="shared" si="3"/>
        <v>257</v>
      </c>
      <c r="G111" s="175">
        <f t="shared" si="4"/>
        <v>128.5</v>
      </c>
      <c r="H111" s="176">
        <f t="shared" si="5"/>
        <v>0.70841832515574177</v>
      </c>
    </row>
    <row r="112" spans="1:8" ht="15">
      <c r="A112" s="172" t="s">
        <v>169</v>
      </c>
      <c r="B112" s="158">
        <v>9</v>
      </c>
      <c r="C112" s="173">
        <v>13</v>
      </c>
      <c r="D112" s="158"/>
      <c r="E112" s="158"/>
      <c r="F112" s="174">
        <f t="shared" si="3"/>
        <v>22</v>
      </c>
      <c r="G112" s="175">
        <f t="shared" si="4"/>
        <v>11</v>
      </c>
      <c r="H112" s="176">
        <f t="shared" si="5"/>
        <v>6.0642813826561552E-2</v>
      </c>
    </row>
    <row r="113" spans="1:8" ht="15">
      <c r="A113" s="178" t="s">
        <v>170</v>
      </c>
      <c r="B113" s="158">
        <v>15</v>
      </c>
      <c r="C113" s="173">
        <v>13</v>
      </c>
      <c r="D113" s="158"/>
      <c r="E113" s="158"/>
      <c r="F113" s="174">
        <f t="shared" si="3"/>
        <v>28</v>
      </c>
      <c r="G113" s="175">
        <f t="shared" si="4"/>
        <v>14</v>
      </c>
      <c r="H113" s="176">
        <f t="shared" si="5"/>
        <v>7.7181763051987429E-2</v>
      </c>
    </row>
    <row r="114" spans="1:8" ht="15">
      <c r="A114" s="178" t="s">
        <v>171</v>
      </c>
      <c r="B114" s="158">
        <v>7</v>
      </c>
      <c r="C114" s="173">
        <v>2</v>
      </c>
      <c r="D114" s="158"/>
      <c r="E114" s="158"/>
      <c r="F114" s="174">
        <f t="shared" si="3"/>
        <v>9</v>
      </c>
      <c r="G114" s="175">
        <f t="shared" si="4"/>
        <v>4.5</v>
      </c>
      <c r="H114" s="176">
        <f t="shared" si="5"/>
        <v>2.4808423838138818E-2</v>
      </c>
    </row>
    <row r="115" spans="1:8" ht="15">
      <c r="A115" s="172" t="s">
        <v>172</v>
      </c>
      <c r="B115" s="158">
        <v>405</v>
      </c>
      <c r="C115" s="173">
        <v>282</v>
      </c>
      <c r="D115" s="158"/>
      <c r="E115" s="158"/>
      <c r="F115" s="174">
        <f t="shared" si="3"/>
        <v>687</v>
      </c>
      <c r="G115" s="175">
        <f t="shared" si="4"/>
        <v>343.5</v>
      </c>
      <c r="H115" s="176">
        <f t="shared" si="5"/>
        <v>1.893709686311263</v>
      </c>
    </row>
    <row r="116" spans="1:8" ht="15">
      <c r="A116" s="172" t="s">
        <v>173</v>
      </c>
      <c r="B116" s="158">
        <v>26</v>
      </c>
      <c r="C116" s="173">
        <v>17</v>
      </c>
      <c r="D116" s="158"/>
      <c r="E116" s="158"/>
      <c r="F116" s="174">
        <f t="shared" si="3"/>
        <v>43</v>
      </c>
      <c r="G116" s="175">
        <f t="shared" si="4"/>
        <v>21.5</v>
      </c>
      <c r="H116" s="176">
        <f t="shared" si="5"/>
        <v>0.11852913611555213</v>
      </c>
    </row>
    <row r="117" spans="1:8" ht="15">
      <c r="A117" s="172" t="s">
        <v>174</v>
      </c>
      <c r="B117" s="158">
        <v>0</v>
      </c>
      <c r="C117" s="173">
        <v>0</v>
      </c>
      <c r="D117" s="158"/>
      <c r="E117" s="158"/>
      <c r="F117" s="174">
        <f t="shared" si="3"/>
        <v>0</v>
      </c>
      <c r="G117" s="175">
        <f t="shared" si="4"/>
        <v>0</v>
      </c>
      <c r="H117" s="176">
        <f t="shared" si="5"/>
        <v>0</v>
      </c>
    </row>
    <row r="118" spans="1:8" ht="15">
      <c r="A118" s="172" t="s">
        <v>20</v>
      </c>
      <c r="B118" s="158">
        <v>275</v>
      </c>
      <c r="C118" s="173">
        <v>247</v>
      </c>
      <c r="D118" s="158"/>
      <c r="E118" s="158"/>
      <c r="F118" s="174">
        <f t="shared" si="3"/>
        <v>522</v>
      </c>
      <c r="G118" s="175">
        <f t="shared" si="4"/>
        <v>261</v>
      </c>
      <c r="H118" s="176">
        <f t="shared" si="5"/>
        <v>1.4388885826120514</v>
      </c>
    </row>
    <row r="119" spans="1:8" ht="15">
      <c r="A119" s="172" t="s">
        <v>175</v>
      </c>
      <c r="B119" s="158">
        <v>1</v>
      </c>
      <c r="C119" s="173">
        <v>2</v>
      </c>
      <c r="D119" s="158"/>
      <c r="E119" s="158"/>
      <c r="F119" s="174">
        <f t="shared" si="3"/>
        <v>3</v>
      </c>
      <c r="G119" s="175">
        <f t="shared" si="4"/>
        <v>1.5</v>
      </c>
      <c r="H119" s="176">
        <f t="shared" si="5"/>
        <v>8.2694746127129383E-3</v>
      </c>
    </row>
    <row r="120" spans="1:8" ht="15">
      <c r="A120" s="172" t="s">
        <v>176</v>
      </c>
      <c r="B120" s="158">
        <v>1</v>
      </c>
      <c r="C120" s="171">
        <v>0</v>
      </c>
      <c r="D120" s="158"/>
      <c r="E120" s="158"/>
      <c r="F120" s="174">
        <f t="shared" si="3"/>
        <v>1</v>
      </c>
      <c r="G120" s="175">
        <f t="shared" si="4"/>
        <v>0.5</v>
      </c>
      <c r="H120" s="176">
        <f t="shared" si="5"/>
        <v>2.7564915375709797E-3</v>
      </c>
    </row>
    <row r="121" spans="1:8" ht="15">
      <c r="A121" s="172" t="s">
        <v>177</v>
      </c>
      <c r="B121" s="158">
        <v>1</v>
      </c>
      <c r="C121" s="171">
        <v>1</v>
      </c>
      <c r="D121" s="158"/>
      <c r="E121" s="158"/>
      <c r="F121" s="174">
        <f t="shared" si="3"/>
        <v>2</v>
      </c>
      <c r="G121" s="175">
        <f t="shared" si="4"/>
        <v>1</v>
      </c>
      <c r="H121" s="176">
        <f t="shared" si="5"/>
        <v>5.5129830751419594E-3</v>
      </c>
    </row>
    <row r="122" spans="1:8" ht="15">
      <c r="A122" s="172" t="s">
        <v>178</v>
      </c>
      <c r="B122" s="158">
        <v>424</v>
      </c>
      <c r="C122" s="173">
        <v>458</v>
      </c>
      <c r="D122" s="158"/>
      <c r="E122" s="158"/>
      <c r="F122" s="174">
        <f t="shared" si="3"/>
        <v>882</v>
      </c>
      <c r="G122" s="175">
        <f t="shared" si="4"/>
        <v>441</v>
      </c>
      <c r="H122" s="176">
        <f t="shared" si="5"/>
        <v>2.4312255361376041</v>
      </c>
    </row>
    <row r="123" spans="1:8" ht="15">
      <c r="A123" s="172" t="s">
        <v>179</v>
      </c>
      <c r="B123" s="158">
        <v>277</v>
      </c>
      <c r="C123" s="173">
        <v>296</v>
      </c>
      <c r="D123" s="158"/>
      <c r="E123" s="158"/>
      <c r="F123" s="174">
        <f t="shared" si="3"/>
        <v>573</v>
      </c>
      <c r="G123" s="175">
        <f t="shared" si="4"/>
        <v>286.5</v>
      </c>
      <c r="H123" s="176">
        <f t="shared" si="5"/>
        <v>1.5794696510281714</v>
      </c>
    </row>
    <row r="124" spans="1:8" ht="15">
      <c r="A124" s="172" t="s">
        <v>180</v>
      </c>
      <c r="B124" s="158">
        <v>0</v>
      </c>
      <c r="C124" s="173">
        <v>0</v>
      </c>
      <c r="D124" s="158"/>
      <c r="E124" s="158"/>
      <c r="F124" s="174">
        <f t="shared" si="3"/>
        <v>0</v>
      </c>
      <c r="G124" s="175">
        <f t="shared" si="4"/>
        <v>0</v>
      </c>
      <c r="H124" s="176">
        <f t="shared" si="5"/>
        <v>0</v>
      </c>
    </row>
    <row r="125" spans="1:8" ht="15">
      <c r="A125" s="172" t="s">
        <v>181</v>
      </c>
      <c r="B125" s="158">
        <v>33</v>
      </c>
      <c r="C125" s="173">
        <v>38</v>
      </c>
      <c r="D125" s="158"/>
      <c r="E125" s="158"/>
      <c r="F125" s="174">
        <f t="shared" si="3"/>
        <v>71</v>
      </c>
      <c r="G125" s="175">
        <f t="shared" si="4"/>
        <v>35.5</v>
      </c>
      <c r="H125" s="176">
        <f t="shared" si="5"/>
        <v>0.19571089916753953</v>
      </c>
    </row>
    <row r="126" spans="1:8" ht="15">
      <c r="A126" s="172" t="s">
        <v>182</v>
      </c>
      <c r="B126" s="158">
        <v>0</v>
      </c>
      <c r="C126" s="173">
        <v>0</v>
      </c>
      <c r="D126" s="158"/>
      <c r="E126" s="158"/>
      <c r="F126" s="174">
        <f t="shared" si="3"/>
        <v>0</v>
      </c>
      <c r="G126" s="175">
        <f t="shared" si="4"/>
        <v>0</v>
      </c>
      <c r="H126" s="176">
        <f t="shared" si="5"/>
        <v>0</v>
      </c>
    </row>
    <row r="127" spans="1:8" ht="15">
      <c r="A127" s="172" t="s">
        <v>183</v>
      </c>
      <c r="B127" s="158">
        <v>137</v>
      </c>
      <c r="C127" s="173">
        <v>120</v>
      </c>
      <c r="D127" s="158"/>
      <c r="E127" s="158"/>
      <c r="F127" s="174">
        <f t="shared" si="3"/>
        <v>257</v>
      </c>
      <c r="G127" s="175">
        <f t="shared" si="4"/>
        <v>128.5</v>
      </c>
      <c r="H127" s="176">
        <f t="shared" si="5"/>
        <v>0.70841832515574177</v>
      </c>
    </row>
    <row r="128" spans="1:8" ht="15">
      <c r="A128" s="172" t="s">
        <v>184</v>
      </c>
      <c r="B128" s="158">
        <v>5</v>
      </c>
      <c r="C128" s="173">
        <v>4</v>
      </c>
      <c r="D128" s="158"/>
      <c r="E128" s="158"/>
      <c r="F128" s="174">
        <f t="shared" si="3"/>
        <v>9</v>
      </c>
      <c r="G128" s="175">
        <f t="shared" si="4"/>
        <v>4.5</v>
      </c>
      <c r="H128" s="176">
        <f t="shared" si="5"/>
        <v>2.4808423838138818E-2</v>
      </c>
    </row>
    <row r="129" spans="1:8" ht="15">
      <c r="A129" s="172" t="s">
        <v>185</v>
      </c>
      <c r="B129" s="158">
        <v>0</v>
      </c>
      <c r="C129" s="173">
        <v>0</v>
      </c>
      <c r="D129" s="158"/>
      <c r="E129" s="158"/>
      <c r="F129" s="174">
        <f t="shared" si="3"/>
        <v>0</v>
      </c>
      <c r="G129" s="175">
        <f t="shared" si="4"/>
        <v>0</v>
      </c>
      <c r="H129" s="176">
        <f t="shared" si="5"/>
        <v>0</v>
      </c>
    </row>
    <row r="130" spans="1:8" ht="15">
      <c r="A130" s="172" t="s">
        <v>186</v>
      </c>
      <c r="B130" s="158">
        <v>0</v>
      </c>
      <c r="C130" s="173">
        <v>1</v>
      </c>
      <c r="D130" s="158"/>
      <c r="E130" s="158"/>
      <c r="F130" s="174">
        <f t="shared" si="3"/>
        <v>1</v>
      </c>
      <c r="G130" s="175">
        <f t="shared" si="4"/>
        <v>0.5</v>
      </c>
      <c r="H130" s="176">
        <f t="shared" si="5"/>
        <v>2.7564915375709797E-3</v>
      </c>
    </row>
    <row r="131" spans="1:8" ht="15">
      <c r="A131" s="172" t="s">
        <v>187</v>
      </c>
      <c r="B131" s="158">
        <v>32</v>
      </c>
      <c r="C131" s="173">
        <v>50</v>
      </c>
      <c r="D131" s="158"/>
      <c r="E131" s="158"/>
      <c r="F131" s="174">
        <f t="shared" si="3"/>
        <v>82</v>
      </c>
      <c r="G131" s="175">
        <f t="shared" si="4"/>
        <v>41</v>
      </c>
      <c r="H131" s="176">
        <f t="shared" si="5"/>
        <v>0.22603230608082034</v>
      </c>
    </row>
    <row r="132" spans="1:8" ht="15">
      <c r="A132" s="172" t="s">
        <v>188</v>
      </c>
      <c r="B132" s="158">
        <v>350</v>
      </c>
      <c r="C132" s="173">
        <v>309</v>
      </c>
      <c r="D132" s="158"/>
      <c r="E132" s="158"/>
      <c r="F132" s="174">
        <f t="shared" si="3"/>
        <v>659</v>
      </c>
      <c r="G132" s="175">
        <f t="shared" si="4"/>
        <v>329.5</v>
      </c>
      <c r="H132" s="176">
        <f t="shared" si="5"/>
        <v>1.8165279232592757</v>
      </c>
    </row>
    <row r="133" spans="1:8" ht="15">
      <c r="A133" s="172" t="s">
        <v>189</v>
      </c>
      <c r="B133" s="158">
        <v>0</v>
      </c>
      <c r="C133" s="173">
        <v>1</v>
      </c>
      <c r="D133" s="158"/>
      <c r="E133" s="158"/>
      <c r="F133" s="174">
        <f t="shared" ref="F133:F196" si="6">SUM(B133:E133)</f>
        <v>1</v>
      </c>
      <c r="G133" s="175">
        <f t="shared" ref="G133:G196" si="7">AVERAGE(B133:E133)</f>
        <v>0.5</v>
      </c>
      <c r="H133" s="176">
        <f t="shared" ref="H133:H196" si="8">(F133/$F$252)*100</f>
        <v>2.7564915375709797E-3</v>
      </c>
    </row>
    <row r="134" spans="1:8" ht="15">
      <c r="A134" s="172" t="s">
        <v>190</v>
      </c>
      <c r="B134" s="158">
        <v>1</v>
      </c>
      <c r="C134" s="173">
        <v>2</v>
      </c>
      <c r="D134" s="158"/>
      <c r="E134" s="158"/>
      <c r="F134" s="174">
        <f t="shared" si="6"/>
        <v>3</v>
      </c>
      <c r="G134" s="175">
        <f t="shared" si="7"/>
        <v>1.5</v>
      </c>
      <c r="H134" s="176">
        <f t="shared" si="8"/>
        <v>8.2694746127129383E-3</v>
      </c>
    </row>
    <row r="135" spans="1:8" ht="15">
      <c r="A135" s="172" t="s">
        <v>191</v>
      </c>
      <c r="B135" s="158">
        <v>0</v>
      </c>
      <c r="C135" s="173">
        <v>1</v>
      </c>
      <c r="D135" s="158"/>
      <c r="E135" s="158"/>
      <c r="F135" s="174">
        <f t="shared" si="6"/>
        <v>1</v>
      </c>
      <c r="G135" s="175">
        <f t="shared" si="7"/>
        <v>0.5</v>
      </c>
      <c r="H135" s="176">
        <f t="shared" si="8"/>
        <v>2.7564915375709797E-3</v>
      </c>
    </row>
    <row r="136" spans="1:8" ht="15">
      <c r="A136" s="172" t="s">
        <v>192</v>
      </c>
      <c r="B136" s="158">
        <v>8</v>
      </c>
      <c r="C136" s="173">
        <v>11</v>
      </c>
      <c r="D136" s="158"/>
      <c r="E136" s="158"/>
      <c r="F136" s="174">
        <f t="shared" si="6"/>
        <v>19</v>
      </c>
      <c r="G136" s="175">
        <f t="shared" si="7"/>
        <v>9.5</v>
      </c>
      <c r="H136" s="176">
        <f t="shared" si="8"/>
        <v>5.2373339213848617E-2</v>
      </c>
    </row>
    <row r="137" spans="1:8" ht="15">
      <c r="A137" s="172" t="s">
        <v>193</v>
      </c>
      <c r="B137" s="158">
        <v>6</v>
      </c>
      <c r="C137" s="173">
        <v>2</v>
      </c>
      <c r="D137" s="158"/>
      <c r="E137" s="158"/>
      <c r="F137" s="174">
        <f t="shared" si="6"/>
        <v>8</v>
      </c>
      <c r="G137" s="175">
        <f t="shared" si="7"/>
        <v>4</v>
      </c>
      <c r="H137" s="176">
        <f t="shared" si="8"/>
        <v>2.2051932300567838E-2</v>
      </c>
    </row>
    <row r="138" spans="1:8" ht="15">
      <c r="A138" s="172" t="s">
        <v>194</v>
      </c>
      <c r="B138" s="158">
        <v>70</v>
      </c>
      <c r="C138" s="173">
        <v>59</v>
      </c>
      <c r="D138" s="158"/>
      <c r="E138" s="158"/>
      <c r="F138" s="174">
        <f t="shared" si="6"/>
        <v>129</v>
      </c>
      <c r="G138" s="175">
        <f t="shared" si="7"/>
        <v>64.5</v>
      </c>
      <c r="H138" s="176">
        <f t="shared" si="8"/>
        <v>0.35558740834665636</v>
      </c>
    </row>
    <row r="139" spans="1:8" ht="15">
      <c r="A139" s="172" t="s">
        <v>195</v>
      </c>
      <c r="B139" s="158">
        <v>22</v>
      </c>
      <c r="C139" s="173">
        <v>19</v>
      </c>
      <c r="D139" s="158"/>
      <c r="E139" s="158"/>
      <c r="F139" s="174">
        <f t="shared" si="6"/>
        <v>41</v>
      </c>
      <c r="G139" s="175">
        <f t="shared" si="7"/>
        <v>20.5</v>
      </c>
      <c r="H139" s="176">
        <f t="shared" si="8"/>
        <v>0.11301615304041017</v>
      </c>
    </row>
    <row r="140" spans="1:8" ht="15">
      <c r="A140" s="178" t="s">
        <v>196</v>
      </c>
      <c r="B140" s="158">
        <v>0</v>
      </c>
      <c r="C140" s="173">
        <v>0</v>
      </c>
      <c r="D140" s="158"/>
      <c r="E140" s="158"/>
      <c r="F140" s="174">
        <f t="shared" si="6"/>
        <v>0</v>
      </c>
      <c r="G140" s="175">
        <f t="shared" si="7"/>
        <v>0</v>
      </c>
      <c r="H140" s="176">
        <f t="shared" si="8"/>
        <v>0</v>
      </c>
    </row>
    <row r="141" spans="1:8" ht="15">
      <c r="A141" s="172" t="s">
        <v>197</v>
      </c>
      <c r="B141" s="158">
        <v>4</v>
      </c>
      <c r="C141" s="173">
        <v>6</v>
      </c>
      <c r="D141" s="158"/>
      <c r="E141" s="158"/>
      <c r="F141" s="174">
        <f t="shared" si="6"/>
        <v>10</v>
      </c>
      <c r="G141" s="175">
        <f t="shared" si="7"/>
        <v>5</v>
      </c>
      <c r="H141" s="176">
        <f t="shared" si="8"/>
        <v>2.7564915375709799E-2</v>
      </c>
    </row>
    <row r="142" spans="1:8" ht="15">
      <c r="A142" s="172" t="s">
        <v>198</v>
      </c>
      <c r="B142" s="158">
        <v>3</v>
      </c>
      <c r="C142" s="173">
        <v>5</v>
      </c>
      <c r="D142" s="158"/>
      <c r="E142" s="158"/>
      <c r="F142" s="174">
        <f t="shared" si="6"/>
        <v>8</v>
      </c>
      <c r="G142" s="175">
        <f t="shared" si="7"/>
        <v>4</v>
      </c>
      <c r="H142" s="176">
        <f t="shared" si="8"/>
        <v>2.2051932300567838E-2</v>
      </c>
    </row>
    <row r="143" spans="1:8" ht="15">
      <c r="A143" s="172" t="s">
        <v>199</v>
      </c>
      <c r="B143" s="158">
        <v>269</v>
      </c>
      <c r="C143" s="173">
        <v>173</v>
      </c>
      <c r="D143" s="158"/>
      <c r="E143" s="158"/>
      <c r="F143" s="174">
        <f t="shared" si="6"/>
        <v>442</v>
      </c>
      <c r="G143" s="175">
        <f t="shared" si="7"/>
        <v>221</v>
      </c>
      <c r="H143" s="176">
        <f t="shared" si="8"/>
        <v>1.2183692596063731</v>
      </c>
    </row>
    <row r="144" spans="1:8" ht="15">
      <c r="A144" s="172" t="s">
        <v>200</v>
      </c>
      <c r="B144" s="158">
        <v>0</v>
      </c>
      <c r="C144" s="173">
        <v>0</v>
      </c>
      <c r="D144" s="158"/>
      <c r="E144" s="158"/>
      <c r="F144" s="174">
        <f t="shared" si="6"/>
        <v>0</v>
      </c>
      <c r="G144" s="175">
        <f t="shared" si="7"/>
        <v>0</v>
      </c>
      <c r="H144" s="176">
        <f t="shared" si="8"/>
        <v>0</v>
      </c>
    </row>
    <row r="145" spans="1:8" ht="15">
      <c r="A145" s="172" t="s">
        <v>201</v>
      </c>
      <c r="B145" s="158">
        <v>9</v>
      </c>
      <c r="C145" s="173">
        <v>2</v>
      </c>
      <c r="D145" s="158"/>
      <c r="E145" s="158"/>
      <c r="F145" s="174">
        <f t="shared" si="6"/>
        <v>11</v>
      </c>
      <c r="G145" s="175">
        <f t="shared" si="7"/>
        <v>5.5</v>
      </c>
      <c r="H145" s="176">
        <f t="shared" si="8"/>
        <v>3.0321406913280776E-2</v>
      </c>
    </row>
    <row r="146" spans="1:8" ht="15">
      <c r="A146" s="178" t="s">
        <v>202</v>
      </c>
      <c r="B146" s="158">
        <v>15</v>
      </c>
      <c r="C146" s="173">
        <v>13</v>
      </c>
      <c r="D146" s="158"/>
      <c r="E146" s="158"/>
      <c r="F146" s="174">
        <f t="shared" si="6"/>
        <v>28</v>
      </c>
      <c r="G146" s="175">
        <f t="shared" si="7"/>
        <v>14</v>
      </c>
      <c r="H146" s="176">
        <f t="shared" si="8"/>
        <v>7.7181763051987429E-2</v>
      </c>
    </row>
    <row r="147" spans="1:8" ht="15">
      <c r="A147" s="178" t="s">
        <v>203</v>
      </c>
      <c r="B147" s="158">
        <v>0</v>
      </c>
      <c r="C147" s="173">
        <v>0</v>
      </c>
      <c r="D147" s="158"/>
      <c r="E147" s="158"/>
      <c r="F147" s="174">
        <f t="shared" si="6"/>
        <v>0</v>
      </c>
      <c r="G147" s="175">
        <f t="shared" si="7"/>
        <v>0</v>
      </c>
      <c r="H147" s="176">
        <f t="shared" si="8"/>
        <v>0</v>
      </c>
    </row>
    <row r="148" spans="1:8" ht="15">
      <c r="A148" s="178" t="s">
        <v>204</v>
      </c>
      <c r="B148" s="158">
        <v>5</v>
      </c>
      <c r="C148" s="173">
        <v>17</v>
      </c>
      <c r="D148" s="158"/>
      <c r="E148" s="158"/>
      <c r="F148" s="174">
        <f t="shared" si="6"/>
        <v>22</v>
      </c>
      <c r="G148" s="175">
        <f t="shared" si="7"/>
        <v>11</v>
      </c>
      <c r="H148" s="176">
        <f t="shared" si="8"/>
        <v>6.0642813826561552E-2</v>
      </c>
    </row>
    <row r="149" spans="1:8" ht="15">
      <c r="A149" s="178" t="s">
        <v>205</v>
      </c>
      <c r="B149" s="158">
        <v>0</v>
      </c>
      <c r="C149" s="173">
        <v>6</v>
      </c>
      <c r="D149" s="158"/>
      <c r="E149" s="158"/>
      <c r="F149" s="174">
        <f t="shared" si="6"/>
        <v>6</v>
      </c>
      <c r="G149" s="175">
        <f t="shared" si="7"/>
        <v>3</v>
      </c>
      <c r="H149" s="176">
        <f t="shared" si="8"/>
        <v>1.6538949225425877E-2</v>
      </c>
    </row>
    <row r="150" spans="1:8" ht="15">
      <c r="A150" s="178" t="s">
        <v>206</v>
      </c>
      <c r="B150" s="158">
        <v>257</v>
      </c>
      <c r="C150" s="173">
        <v>183</v>
      </c>
      <c r="D150" s="158"/>
      <c r="E150" s="158"/>
      <c r="F150" s="174">
        <f t="shared" si="6"/>
        <v>440</v>
      </c>
      <c r="G150" s="175">
        <f t="shared" si="7"/>
        <v>220</v>
      </c>
      <c r="H150" s="176">
        <f t="shared" si="8"/>
        <v>1.2128562765312312</v>
      </c>
    </row>
    <row r="151" spans="1:8" ht="15">
      <c r="A151" s="178" t="s">
        <v>207</v>
      </c>
      <c r="B151" s="158">
        <v>3</v>
      </c>
      <c r="C151" s="173">
        <v>3</v>
      </c>
      <c r="D151" s="158"/>
      <c r="E151" s="158"/>
      <c r="F151" s="174">
        <f t="shared" si="6"/>
        <v>6</v>
      </c>
      <c r="G151" s="175">
        <f t="shared" si="7"/>
        <v>3</v>
      </c>
      <c r="H151" s="176">
        <f t="shared" si="8"/>
        <v>1.6538949225425877E-2</v>
      </c>
    </row>
    <row r="152" spans="1:8" ht="15">
      <c r="A152" s="172" t="s">
        <v>208</v>
      </c>
      <c r="B152" s="158">
        <v>38</v>
      </c>
      <c r="C152" s="173">
        <v>24</v>
      </c>
      <c r="D152" s="158"/>
      <c r="E152" s="158"/>
      <c r="F152" s="174">
        <f t="shared" si="6"/>
        <v>62</v>
      </c>
      <c r="G152" s="175">
        <f t="shared" si="7"/>
        <v>31</v>
      </c>
      <c r="H152" s="176">
        <f t="shared" si="8"/>
        <v>0.17090247532940075</v>
      </c>
    </row>
    <row r="153" spans="1:8" ht="15">
      <c r="A153" s="172" t="s">
        <v>209</v>
      </c>
      <c r="B153" s="158">
        <v>24</v>
      </c>
      <c r="C153" s="173">
        <v>33</v>
      </c>
      <c r="D153" s="158"/>
      <c r="E153" s="158"/>
      <c r="F153" s="174">
        <f t="shared" si="6"/>
        <v>57</v>
      </c>
      <c r="G153" s="175">
        <f t="shared" si="7"/>
        <v>28.5</v>
      </c>
      <c r="H153" s="176">
        <f t="shared" si="8"/>
        <v>0.15712001764154584</v>
      </c>
    </row>
    <row r="154" spans="1:8" s="188" customFormat="1" ht="15">
      <c r="A154" s="172" t="s">
        <v>210</v>
      </c>
      <c r="B154" s="158">
        <v>0</v>
      </c>
      <c r="C154" s="173">
        <v>0</v>
      </c>
      <c r="D154" s="158"/>
      <c r="E154" s="158"/>
      <c r="F154" s="174">
        <f t="shared" si="6"/>
        <v>0</v>
      </c>
      <c r="G154" s="175">
        <f t="shared" si="7"/>
        <v>0</v>
      </c>
      <c r="H154" s="176">
        <f t="shared" si="8"/>
        <v>0</v>
      </c>
    </row>
    <row r="155" spans="1:8" ht="15">
      <c r="A155" s="180" t="s">
        <v>211</v>
      </c>
      <c r="B155" s="181">
        <v>203</v>
      </c>
      <c r="C155" s="182">
        <v>180</v>
      </c>
      <c r="D155" s="181"/>
      <c r="E155" s="181"/>
      <c r="F155" s="174">
        <f t="shared" si="6"/>
        <v>383</v>
      </c>
      <c r="G155" s="175">
        <f t="shared" si="7"/>
        <v>191.5</v>
      </c>
      <c r="H155" s="176">
        <f t="shared" si="8"/>
        <v>1.0557362588896853</v>
      </c>
    </row>
    <row r="156" spans="1:8" ht="15">
      <c r="A156" s="178" t="s">
        <v>212</v>
      </c>
      <c r="B156" s="158">
        <v>0</v>
      </c>
      <c r="C156" s="173">
        <v>1</v>
      </c>
      <c r="D156" s="158"/>
      <c r="E156" s="158"/>
      <c r="F156" s="174">
        <f t="shared" si="6"/>
        <v>1</v>
      </c>
      <c r="G156" s="175">
        <f t="shared" si="7"/>
        <v>0.5</v>
      </c>
      <c r="H156" s="176">
        <f t="shared" si="8"/>
        <v>2.7564915375709797E-3</v>
      </c>
    </row>
    <row r="157" spans="1:8" ht="15">
      <c r="A157" s="172" t="s">
        <v>213</v>
      </c>
      <c r="B157" s="158">
        <v>1</v>
      </c>
      <c r="C157" s="173">
        <v>1</v>
      </c>
      <c r="D157" s="158"/>
      <c r="E157" s="158"/>
      <c r="F157" s="174">
        <f t="shared" si="6"/>
        <v>2</v>
      </c>
      <c r="G157" s="175">
        <f t="shared" si="7"/>
        <v>1</v>
      </c>
      <c r="H157" s="176">
        <f t="shared" si="8"/>
        <v>5.5129830751419594E-3</v>
      </c>
    </row>
    <row r="158" spans="1:8" ht="15">
      <c r="A158" s="172" t="s">
        <v>214</v>
      </c>
      <c r="B158" s="158">
        <v>1</v>
      </c>
      <c r="C158" s="173">
        <v>0</v>
      </c>
      <c r="D158" s="158"/>
      <c r="E158" s="158"/>
      <c r="F158" s="174">
        <f t="shared" si="6"/>
        <v>1</v>
      </c>
      <c r="G158" s="175">
        <f t="shared" si="7"/>
        <v>0.5</v>
      </c>
      <c r="H158" s="176">
        <f t="shared" si="8"/>
        <v>2.7564915375709797E-3</v>
      </c>
    </row>
    <row r="159" spans="1:8" ht="15">
      <c r="A159" s="183" t="s">
        <v>215</v>
      </c>
      <c r="B159" s="158">
        <v>73</v>
      </c>
      <c r="C159" s="173">
        <v>102</v>
      </c>
      <c r="D159" s="158"/>
      <c r="E159" s="158"/>
      <c r="F159" s="174">
        <f t="shared" si="6"/>
        <v>175</v>
      </c>
      <c r="G159" s="175">
        <f t="shared" si="7"/>
        <v>87.5</v>
      </c>
      <c r="H159" s="176">
        <f t="shared" si="8"/>
        <v>0.4823860190749214</v>
      </c>
    </row>
    <row r="160" spans="1:8" ht="15">
      <c r="A160" s="172" t="s">
        <v>216</v>
      </c>
      <c r="B160" s="158">
        <v>1</v>
      </c>
      <c r="C160" s="173">
        <v>0</v>
      </c>
      <c r="D160" s="158"/>
      <c r="E160" s="158"/>
      <c r="F160" s="174">
        <f t="shared" si="6"/>
        <v>1</v>
      </c>
      <c r="G160" s="175">
        <f t="shared" si="7"/>
        <v>0.5</v>
      </c>
      <c r="H160" s="176">
        <f t="shared" si="8"/>
        <v>2.7564915375709797E-3</v>
      </c>
    </row>
    <row r="161" spans="1:8" ht="15">
      <c r="A161" s="172" t="s">
        <v>217</v>
      </c>
      <c r="B161" s="158">
        <v>57</v>
      </c>
      <c r="C161" s="173">
        <v>55</v>
      </c>
      <c r="D161" s="158"/>
      <c r="E161" s="158"/>
      <c r="F161" s="174">
        <f t="shared" si="6"/>
        <v>112</v>
      </c>
      <c r="G161" s="175">
        <f t="shared" si="7"/>
        <v>56</v>
      </c>
      <c r="H161" s="176">
        <f t="shared" si="8"/>
        <v>0.30872705220794971</v>
      </c>
    </row>
    <row r="162" spans="1:8" ht="15">
      <c r="A162" s="172" t="s">
        <v>218</v>
      </c>
      <c r="B162" s="158">
        <v>647</v>
      </c>
      <c r="C162" s="173">
        <v>147</v>
      </c>
      <c r="D162" s="158"/>
      <c r="E162" s="158"/>
      <c r="F162" s="174">
        <f t="shared" si="6"/>
        <v>794</v>
      </c>
      <c r="G162" s="175">
        <f t="shared" si="7"/>
        <v>397</v>
      </c>
      <c r="H162" s="176">
        <f t="shared" si="8"/>
        <v>2.1886542808313578</v>
      </c>
    </row>
    <row r="163" spans="1:8" ht="15">
      <c r="A163" s="172" t="s">
        <v>219</v>
      </c>
      <c r="B163" s="158">
        <v>13</v>
      </c>
      <c r="C163" s="173">
        <v>7</v>
      </c>
      <c r="D163" s="158"/>
      <c r="E163" s="158"/>
      <c r="F163" s="174">
        <f t="shared" si="6"/>
        <v>20</v>
      </c>
      <c r="G163" s="175">
        <f t="shared" si="7"/>
        <v>10</v>
      </c>
      <c r="H163" s="176">
        <f t="shared" si="8"/>
        <v>5.5129830751419598E-2</v>
      </c>
    </row>
    <row r="164" spans="1:8" ht="15">
      <c r="A164" s="172" t="s">
        <v>220</v>
      </c>
      <c r="B164" s="158">
        <v>3</v>
      </c>
      <c r="C164" s="173">
        <v>7</v>
      </c>
      <c r="D164" s="158"/>
      <c r="E164" s="158"/>
      <c r="F164" s="174">
        <f t="shared" si="6"/>
        <v>10</v>
      </c>
      <c r="G164" s="175">
        <f t="shared" si="7"/>
        <v>5</v>
      </c>
      <c r="H164" s="176">
        <f t="shared" si="8"/>
        <v>2.7564915375709799E-2</v>
      </c>
    </row>
    <row r="165" spans="1:8" ht="15">
      <c r="A165" s="172" t="s">
        <v>221</v>
      </c>
      <c r="B165" s="158">
        <v>0</v>
      </c>
      <c r="C165" s="173">
        <v>1</v>
      </c>
      <c r="D165" s="158"/>
      <c r="E165" s="158"/>
      <c r="F165" s="174">
        <f t="shared" si="6"/>
        <v>1</v>
      </c>
      <c r="G165" s="175">
        <f t="shared" si="7"/>
        <v>0.5</v>
      </c>
      <c r="H165" s="176">
        <f t="shared" si="8"/>
        <v>2.7564915375709797E-3</v>
      </c>
    </row>
    <row r="166" spans="1:8" ht="15">
      <c r="A166" s="172" t="s">
        <v>222</v>
      </c>
      <c r="B166" s="158">
        <v>0</v>
      </c>
      <c r="C166" s="173">
        <v>1</v>
      </c>
      <c r="D166" s="158"/>
      <c r="E166" s="158"/>
      <c r="F166" s="174">
        <f t="shared" si="6"/>
        <v>1</v>
      </c>
      <c r="G166" s="175">
        <f t="shared" si="7"/>
        <v>0.5</v>
      </c>
      <c r="H166" s="176">
        <f t="shared" si="8"/>
        <v>2.7564915375709797E-3</v>
      </c>
    </row>
    <row r="167" spans="1:8" ht="15">
      <c r="A167" s="172" t="s">
        <v>223</v>
      </c>
      <c r="B167" s="158">
        <v>4</v>
      </c>
      <c r="C167" s="173">
        <v>3</v>
      </c>
      <c r="D167" s="158"/>
      <c r="E167" s="158"/>
      <c r="F167" s="174">
        <f t="shared" si="6"/>
        <v>7</v>
      </c>
      <c r="G167" s="175">
        <f t="shared" si="7"/>
        <v>3.5</v>
      </c>
      <c r="H167" s="176">
        <f t="shared" si="8"/>
        <v>1.9295440762996857E-2</v>
      </c>
    </row>
    <row r="168" spans="1:8" ht="15">
      <c r="A168" s="172" t="s">
        <v>224</v>
      </c>
      <c r="B168" s="158">
        <v>0</v>
      </c>
      <c r="C168" s="173">
        <v>1</v>
      </c>
      <c r="D168" s="158"/>
      <c r="E168" s="158"/>
      <c r="F168" s="174">
        <f t="shared" si="6"/>
        <v>1</v>
      </c>
      <c r="G168" s="175">
        <f t="shared" si="7"/>
        <v>0.5</v>
      </c>
      <c r="H168" s="176">
        <f t="shared" si="8"/>
        <v>2.7564915375709797E-3</v>
      </c>
    </row>
    <row r="169" spans="1:8" ht="15">
      <c r="A169" s="172" t="s">
        <v>225</v>
      </c>
      <c r="B169" s="158">
        <v>2</v>
      </c>
      <c r="C169" s="173">
        <v>2</v>
      </c>
      <c r="D169" s="158"/>
      <c r="E169" s="158"/>
      <c r="F169" s="174">
        <f t="shared" si="6"/>
        <v>4</v>
      </c>
      <c r="G169" s="175">
        <f t="shared" si="7"/>
        <v>2</v>
      </c>
      <c r="H169" s="176">
        <f t="shared" si="8"/>
        <v>1.1025966150283919E-2</v>
      </c>
    </row>
    <row r="170" spans="1:8" ht="15">
      <c r="A170" s="172" t="s">
        <v>226</v>
      </c>
      <c r="B170" s="158">
        <v>0</v>
      </c>
      <c r="C170" s="173">
        <v>0</v>
      </c>
      <c r="D170" s="158"/>
      <c r="E170" s="158"/>
      <c r="F170" s="174">
        <f t="shared" si="6"/>
        <v>0</v>
      </c>
      <c r="G170" s="175">
        <f t="shared" si="7"/>
        <v>0</v>
      </c>
      <c r="H170" s="176">
        <f t="shared" si="8"/>
        <v>0</v>
      </c>
    </row>
    <row r="171" spans="1:8" ht="15">
      <c r="A171" s="178" t="s">
        <v>227</v>
      </c>
      <c r="B171" s="158">
        <v>372</v>
      </c>
      <c r="C171" s="173">
        <v>433</v>
      </c>
      <c r="D171" s="158"/>
      <c r="E171" s="158"/>
      <c r="F171" s="174">
        <f t="shared" si="6"/>
        <v>805</v>
      </c>
      <c r="G171" s="175">
        <f t="shared" si="7"/>
        <v>402.5</v>
      </c>
      <c r="H171" s="176">
        <f t="shared" si="8"/>
        <v>2.2189756877446389</v>
      </c>
    </row>
    <row r="172" spans="1:8" ht="15">
      <c r="A172" s="172" t="s">
        <v>228</v>
      </c>
      <c r="B172" s="158">
        <v>0</v>
      </c>
      <c r="C172" s="173">
        <v>0</v>
      </c>
      <c r="D172" s="158"/>
      <c r="E172" s="158"/>
      <c r="F172" s="174">
        <f t="shared" si="6"/>
        <v>0</v>
      </c>
      <c r="G172" s="175">
        <f t="shared" si="7"/>
        <v>0</v>
      </c>
      <c r="H172" s="176">
        <f t="shared" si="8"/>
        <v>0</v>
      </c>
    </row>
    <row r="173" spans="1:8" ht="15">
      <c r="A173" s="172" t="s">
        <v>229</v>
      </c>
      <c r="B173" s="158">
        <v>326</v>
      </c>
      <c r="C173" s="173">
        <v>203</v>
      </c>
      <c r="D173" s="158"/>
      <c r="E173" s="158"/>
      <c r="F173" s="174">
        <f t="shared" si="6"/>
        <v>529</v>
      </c>
      <c r="G173" s="175">
        <f t="shared" si="7"/>
        <v>264.5</v>
      </c>
      <c r="H173" s="176">
        <f t="shared" si="8"/>
        <v>1.4581840233750483</v>
      </c>
    </row>
    <row r="174" spans="1:8" ht="15">
      <c r="A174" s="172" t="s">
        <v>230</v>
      </c>
      <c r="B174" s="158">
        <v>51</v>
      </c>
      <c r="C174" s="173">
        <v>72</v>
      </c>
      <c r="D174" s="158"/>
      <c r="E174" s="158"/>
      <c r="F174" s="174">
        <f t="shared" si="6"/>
        <v>123</v>
      </c>
      <c r="G174" s="175">
        <f t="shared" si="7"/>
        <v>61.5</v>
      </c>
      <c r="H174" s="176">
        <f t="shared" si="8"/>
        <v>0.33904845912123049</v>
      </c>
    </row>
    <row r="175" spans="1:8" ht="15">
      <c r="A175" s="172" t="s">
        <v>231</v>
      </c>
      <c r="B175" s="158">
        <v>2</v>
      </c>
      <c r="C175" s="173">
        <v>1</v>
      </c>
      <c r="D175" s="158"/>
      <c r="E175" s="158"/>
      <c r="F175" s="174">
        <f t="shared" si="6"/>
        <v>3</v>
      </c>
      <c r="G175" s="175">
        <f t="shared" si="7"/>
        <v>1.5</v>
      </c>
      <c r="H175" s="176">
        <f t="shared" si="8"/>
        <v>8.2694746127129383E-3</v>
      </c>
    </row>
    <row r="176" spans="1:8" ht="15">
      <c r="A176" s="172" t="s">
        <v>232</v>
      </c>
      <c r="B176" s="158">
        <v>0</v>
      </c>
      <c r="C176" s="173">
        <v>2</v>
      </c>
      <c r="D176" s="158"/>
      <c r="E176" s="158"/>
      <c r="F176" s="174">
        <f t="shared" si="6"/>
        <v>2</v>
      </c>
      <c r="G176" s="175">
        <f t="shared" si="7"/>
        <v>1</v>
      </c>
      <c r="H176" s="176">
        <f t="shared" si="8"/>
        <v>5.5129830751419594E-3</v>
      </c>
    </row>
    <row r="177" spans="1:8" ht="15">
      <c r="A177" s="178" t="s">
        <v>233</v>
      </c>
      <c r="B177" s="158">
        <v>14</v>
      </c>
      <c r="C177" s="173">
        <v>14</v>
      </c>
      <c r="D177" s="158"/>
      <c r="E177" s="158"/>
      <c r="F177" s="174">
        <f t="shared" si="6"/>
        <v>28</v>
      </c>
      <c r="G177" s="175">
        <f t="shared" si="7"/>
        <v>14</v>
      </c>
      <c r="H177" s="176">
        <f t="shared" si="8"/>
        <v>7.7181763051987429E-2</v>
      </c>
    </row>
    <row r="178" spans="1:8" ht="15">
      <c r="A178" s="172" t="s">
        <v>50</v>
      </c>
      <c r="B178" s="158">
        <v>865</v>
      </c>
      <c r="C178" s="173">
        <v>797</v>
      </c>
      <c r="D178" s="158"/>
      <c r="E178" s="158"/>
      <c r="F178" s="174">
        <f t="shared" si="6"/>
        <v>1662</v>
      </c>
      <c r="G178" s="175">
        <f t="shared" si="7"/>
        <v>831</v>
      </c>
      <c r="H178" s="176">
        <f t="shared" si="8"/>
        <v>4.5812889354429682</v>
      </c>
    </row>
    <row r="179" spans="1:8" ht="15">
      <c r="A179" s="172" t="s">
        <v>234</v>
      </c>
      <c r="B179" s="158">
        <v>97</v>
      </c>
      <c r="C179" s="173">
        <v>82</v>
      </c>
      <c r="D179" s="158"/>
      <c r="E179" s="158"/>
      <c r="F179" s="174">
        <f t="shared" si="6"/>
        <v>179</v>
      </c>
      <c r="G179" s="175">
        <f t="shared" si="7"/>
        <v>89.5</v>
      </c>
      <c r="H179" s="176">
        <f t="shared" si="8"/>
        <v>0.49341198522520535</v>
      </c>
    </row>
    <row r="180" spans="1:8" ht="15">
      <c r="A180" s="172" t="s">
        <v>235</v>
      </c>
      <c r="B180" s="158">
        <v>0</v>
      </c>
      <c r="C180" s="173">
        <v>0</v>
      </c>
      <c r="D180" s="158"/>
      <c r="E180" s="158"/>
      <c r="F180" s="174">
        <f t="shared" si="6"/>
        <v>0</v>
      </c>
      <c r="G180" s="175">
        <f t="shared" si="7"/>
        <v>0</v>
      </c>
      <c r="H180" s="176">
        <f t="shared" si="8"/>
        <v>0</v>
      </c>
    </row>
    <row r="181" spans="1:8" ht="15">
      <c r="A181" s="172" t="s">
        <v>236</v>
      </c>
      <c r="B181" s="158">
        <v>5</v>
      </c>
      <c r="C181" s="173">
        <v>7</v>
      </c>
      <c r="D181" s="158"/>
      <c r="E181" s="158"/>
      <c r="F181" s="174">
        <f t="shared" si="6"/>
        <v>12</v>
      </c>
      <c r="G181" s="175">
        <f t="shared" si="7"/>
        <v>6</v>
      </c>
      <c r="H181" s="176">
        <f t="shared" si="8"/>
        <v>3.3077898450851753E-2</v>
      </c>
    </row>
    <row r="182" spans="1:8" ht="15">
      <c r="A182" s="172" t="s">
        <v>47</v>
      </c>
      <c r="B182" s="158">
        <v>1103</v>
      </c>
      <c r="C182" s="173">
        <v>1197</v>
      </c>
      <c r="D182" s="158"/>
      <c r="E182" s="158"/>
      <c r="F182" s="174">
        <f t="shared" si="6"/>
        <v>2300</v>
      </c>
      <c r="G182" s="175">
        <f t="shared" si="7"/>
        <v>1150</v>
      </c>
      <c r="H182" s="176">
        <f t="shared" si="8"/>
        <v>6.3399305364132532</v>
      </c>
    </row>
    <row r="183" spans="1:8" ht="15">
      <c r="A183" s="172" t="s">
        <v>237</v>
      </c>
      <c r="B183" s="158">
        <v>184</v>
      </c>
      <c r="C183" s="173">
        <v>96</v>
      </c>
      <c r="D183" s="158"/>
      <c r="E183" s="158"/>
      <c r="F183" s="174">
        <f t="shared" si="6"/>
        <v>280</v>
      </c>
      <c r="G183" s="175">
        <f t="shared" si="7"/>
        <v>140</v>
      </c>
      <c r="H183" s="176">
        <f t="shared" si="8"/>
        <v>0.77181763051987429</v>
      </c>
    </row>
    <row r="184" spans="1:8" ht="15">
      <c r="A184" s="172" t="s">
        <v>238</v>
      </c>
      <c r="B184" s="158">
        <v>24</v>
      </c>
      <c r="C184" s="173">
        <v>12</v>
      </c>
      <c r="D184" s="158"/>
      <c r="E184" s="158"/>
      <c r="F184" s="174">
        <f t="shared" si="6"/>
        <v>36</v>
      </c>
      <c r="G184" s="175">
        <f t="shared" si="7"/>
        <v>18</v>
      </c>
      <c r="H184" s="176">
        <f t="shared" si="8"/>
        <v>9.9233695352555273E-2</v>
      </c>
    </row>
    <row r="185" spans="1:8" ht="15">
      <c r="A185" s="178" t="s">
        <v>239</v>
      </c>
      <c r="B185" s="158">
        <v>70</v>
      </c>
      <c r="C185" s="173">
        <v>43</v>
      </c>
      <c r="D185" s="158"/>
      <c r="E185" s="158"/>
      <c r="F185" s="174">
        <f t="shared" si="6"/>
        <v>113</v>
      </c>
      <c r="G185" s="175">
        <f t="shared" si="7"/>
        <v>56.5</v>
      </c>
      <c r="H185" s="176">
        <f t="shared" si="8"/>
        <v>0.31148354374552067</v>
      </c>
    </row>
    <row r="186" spans="1:8" ht="15">
      <c r="A186" s="178" t="s">
        <v>240</v>
      </c>
      <c r="B186" s="158">
        <v>1</v>
      </c>
      <c r="C186" s="173">
        <v>3</v>
      </c>
      <c r="D186" s="158"/>
      <c r="E186" s="158"/>
      <c r="F186" s="174">
        <f t="shared" si="6"/>
        <v>4</v>
      </c>
      <c r="G186" s="175">
        <f t="shared" si="7"/>
        <v>2</v>
      </c>
      <c r="H186" s="176">
        <f t="shared" si="8"/>
        <v>1.1025966150283919E-2</v>
      </c>
    </row>
    <row r="187" spans="1:8" ht="15">
      <c r="A187" s="178" t="s">
        <v>241</v>
      </c>
      <c r="B187" s="158">
        <v>0</v>
      </c>
      <c r="C187" s="173">
        <v>0</v>
      </c>
      <c r="D187" s="158"/>
      <c r="E187" s="158"/>
      <c r="F187" s="174">
        <f t="shared" si="6"/>
        <v>0</v>
      </c>
      <c r="G187" s="175">
        <f t="shared" si="7"/>
        <v>0</v>
      </c>
      <c r="H187" s="176">
        <f t="shared" si="8"/>
        <v>0</v>
      </c>
    </row>
    <row r="188" spans="1:8" ht="15">
      <c r="A188" s="172" t="s">
        <v>242</v>
      </c>
      <c r="B188" s="158">
        <v>4</v>
      </c>
      <c r="C188" s="173">
        <v>3</v>
      </c>
      <c r="D188" s="158"/>
      <c r="E188" s="158"/>
      <c r="F188" s="174">
        <f t="shared" si="6"/>
        <v>7</v>
      </c>
      <c r="G188" s="175">
        <f t="shared" si="7"/>
        <v>3.5</v>
      </c>
      <c r="H188" s="176">
        <f t="shared" si="8"/>
        <v>1.9295440762996857E-2</v>
      </c>
    </row>
    <row r="189" spans="1:8" ht="15">
      <c r="A189" s="172" t="s">
        <v>243</v>
      </c>
      <c r="B189" s="158">
        <v>2</v>
      </c>
      <c r="C189" s="173">
        <v>2</v>
      </c>
      <c r="D189" s="158"/>
      <c r="E189" s="158"/>
      <c r="F189" s="174">
        <f t="shared" si="6"/>
        <v>4</v>
      </c>
      <c r="G189" s="175">
        <f t="shared" si="7"/>
        <v>2</v>
      </c>
      <c r="H189" s="176">
        <f t="shared" si="8"/>
        <v>1.1025966150283919E-2</v>
      </c>
    </row>
    <row r="190" spans="1:8" ht="15">
      <c r="A190" s="172" t="s">
        <v>244</v>
      </c>
      <c r="B190" s="158">
        <v>41</v>
      </c>
      <c r="C190" s="173">
        <v>38</v>
      </c>
      <c r="D190" s="158"/>
      <c r="E190" s="158"/>
      <c r="F190" s="174">
        <f t="shared" si="6"/>
        <v>79</v>
      </c>
      <c r="G190" s="175">
        <f t="shared" si="7"/>
        <v>39.5</v>
      </c>
      <c r="H190" s="176">
        <f t="shared" si="8"/>
        <v>0.21776283146810738</v>
      </c>
    </row>
    <row r="191" spans="1:8" s="177" customFormat="1" ht="15">
      <c r="A191" s="178" t="s">
        <v>245</v>
      </c>
      <c r="B191" s="179">
        <v>0</v>
      </c>
      <c r="C191" s="173">
        <v>0</v>
      </c>
      <c r="D191" s="179"/>
      <c r="E191" s="179"/>
      <c r="F191" s="174">
        <f t="shared" si="6"/>
        <v>0</v>
      </c>
      <c r="G191" s="175">
        <f t="shared" si="7"/>
        <v>0</v>
      </c>
      <c r="H191" s="176">
        <f t="shared" si="8"/>
        <v>0</v>
      </c>
    </row>
    <row r="192" spans="1:8" s="177" customFormat="1" ht="15">
      <c r="A192" s="178" t="s">
        <v>246</v>
      </c>
      <c r="B192" s="179">
        <v>35</v>
      </c>
      <c r="C192" s="173">
        <v>32</v>
      </c>
      <c r="D192" s="179"/>
      <c r="E192" s="179"/>
      <c r="F192" s="174">
        <f t="shared" si="6"/>
        <v>67</v>
      </c>
      <c r="G192" s="175">
        <f t="shared" si="7"/>
        <v>33.5</v>
      </c>
      <c r="H192" s="176">
        <f t="shared" si="8"/>
        <v>0.18468493301725564</v>
      </c>
    </row>
    <row r="193" spans="1:8" ht="15">
      <c r="A193" s="178" t="s">
        <v>55</v>
      </c>
      <c r="B193" s="179">
        <v>555</v>
      </c>
      <c r="C193" s="173">
        <v>550</v>
      </c>
      <c r="D193" s="179"/>
      <c r="E193" s="179"/>
      <c r="F193" s="174">
        <f t="shared" si="6"/>
        <v>1105</v>
      </c>
      <c r="G193" s="175">
        <f t="shared" si="7"/>
        <v>552.5</v>
      </c>
      <c r="H193" s="176">
        <f t="shared" si="8"/>
        <v>3.0459231490159326</v>
      </c>
    </row>
    <row r="194" spans="1:8" ht="15">
      <c r="A194" s="172" t="s">
        <v>53</v>
      </c>
      <c r="B194" s="158">
        <v>818</v>
      </c>
      <c r="C194" s="173">
        <v>438</v>
      </c>
      <c r="D194" s="158"/>
      <c r="E194" s="158"/>
      <c r="F194" s="174">
        <f t="shared" si="6"/>
        <v>1256</v>
      </c>
      <c r="G194" s="175">
        <f t="shared" si="7"/>
        <v>628</v>
      </c>
      <c r="H194" s="176">
        <f t="shared" si="8"/>
        <v>3.4621533711891508</v>
      </c>
    </row>
    <row r="195" spans="1:8" ht="15">
      <c r="A195" s="172" t="s">
        <v>247</v>
      </c>
      <c r="B195" s="158">
        <v>95</v>
      </c>
      <c r="C195" s="173">
        <v>72</v>
      </c>
      <c r="D195" s="158"/>
      <c r="E195" s="158"/>
      <c r="F195" s="174">
        <f t="shared" si="6"/>
        <v>167</v>
      </c>
      <c r="G195" s="175">
        <f t="shared" si="7"/>
        <v>83.5</v>
      </c>
      <c r="H195" s="176">
        <f t="shared" si="8"/>
        <v>0.46033408677435361</v>
      </c>
    </row>
    <row r="196" spans="1:8" ht="15">
      <c r="A196" s="172" t="s">
        <v>248</v>
      </c>
      <c r="B196" s="158">
        <v>43</v>
      </c>
      <c r="C196" s="173">
        <v>32</v>
      </c>
      <c r="D196" s="158"/>
      <c r="E196" s="158"/>
      <c r="F196" s="174">
        <f t="shared" si="6"/>
        <v>75</v>
      </c>
      <c r="G196" s="175">
        <f t="shared" si="7"/>
        <v>37.5</v>
      </c>
      <c r="H196" s="176">
        <f t="shared" si="8"/>
        <v>0.20673686531782345</v>
      </c>
    </row>
    <row r="197" spans="1:8" ht="15">
      <c r="A197" s="172" t="s">
        <v>249</v>
      </c>
      <c r="B197" s="158">
        <v>72</v>
      </c>
      <c r="C197" s="173">
        <v>59</v>
      </c>
      <c r="D197" s="158"/>
      <c r="E197" s="158"/>
      <c r="F197" s="174">
        <f t="shared" ref="F197:F260" si="9">SUM(B197:E197)</f>
        <v>131</v>
      </c>
      <c r="G197" s="175">
        <f t="shared" ref="G197:G251" si="10">AVERAGE(B197:E197)</f>
        <v>65.5</v>
      </c>
      <c r="H197" s="176">
        <f t="shared" ref="H197:H251" si="11">(F197/$F$252)*100</f>
        <v>0.36110039142179834</v>
      </c>
    </row>
    <row r="198" spans="1:8" ht="15">
      <c r="A198" s="172" t="s">
        <v>250</v>
      </c>
      <c r="B198" s="158">
        <v>21</v>
      </c>
      <c r="C198" s="173">
        <v>34</v>
      </c>
      <c r="D198" s="158"/>
      <c r="E198" s="158"/>
      <c r="F198" s="174">
        <f t="shared" si="9"/>
        <v>55</v>
      </c>
      <c r="G198" s="175">
        <f t="shared" si="10"/>
        <v>27.5</v>
      </c>
      <c r="H198" s="176">
        <f t="shared" si="11"/>
        <v>0.1516070345664039</v>
      </c>
    </row>
    <row r="199" spans="1:8" ht="15">
      <c r="A199" s="172" t="s">
        <v>52</v>
      </c>
      <c r="B199" s="158">
        <v>676</v>
      </c>
      <c r="C199" s="173">
        <v>677</v>
      </c>
      <c r="D199" s="158"/>
      <c r="E199" s="158"/>
      <c r="F199" s="174">
        <f t="shared" si="9"/>
        <v>1353</v>
      </c>
      <c r="G199" s="175">
        <f t="shared" si="10"/>
        <v>676.5</v>
      </c>
      <c r="H199" s="176">
        <f t="shared" si="11"/>
        <v>3.7295330503335355</v>
      </c>
    </row>
    <row r="200" spans="1:8" ht="15">
      <c r="A200" s="178" t="s">
        <v>251</v>
      </c>
      <c r="B200" s="158">
        <v>0</v>
      </c>
      <c r="C200" s="173">
        <v>0</v>
      </c>
      <c r="D200" s="158"/>
      <c r="E200" s="158"/>
      <c r="F200" s="174">
        <f t="shared" si="9"/>
        <v>0</v>
      </c>
      <c r="G200" s="175">
        <f t="shared" si="10"/>
        <v>0</v>
      </c>
      <c r="H200" s="176">
        <f t="shared" si="11"/>
        <v>0</v>
      </c>
    </row>
    <row r="201" spans="1:8" ht="15">
      <c r="A201" s="172" t="s">
        <v>252</v>
      </c>
      <c r="B201" s="158">
        <v>55</v>
      </c>
      <c r="C201" s="173">
        <v>51</v>
      </c>
      <c r="D201" s="158"/>
      <c r="E201" s="158"/>
      <c r="F201" s="174">
        <f t="shared" si="9"/>
        <v>106</v>
      </c>
      <c r="G201" s="175">
        <f t="shared" si="10"/>
        <v>53</v>
      </c>
      <c r="H201" s="176">
        <f t="shared" si="11"/>
        <v>0.29218810298252385</v>
      </c>
    </row>
    <row r="202" spans="1:8" ht="15">
      <c r="A202" s="172" t="s">
        <v>253</v>
      </c>
      <c r="B202" s="158">
        <v>0</v>
      </c>
      <c r="C202" s="173">
        <v>0</v>
      </c>
      <c r="D202" s="158"/>
      <c r="E202" s="158"/>
      <c r="F202" s="174">
        <f t="shared" si="9"/>
        <v>0</v>
      </c>
      <c r="G202" s="175">
        <f t="shared" si="10"/>
        <v>0</v>
      </c>
      <c r="H202" s="176">
        <f t="shared" si="11"/>
        <v>0</v>
      </c>
    </row>
    <row r="203" spans="1:8" ht="15">
      <c r="A203" s="172" t="s">
        <v>254</v>
      </c>
      <c r="B203" s="158">
        <v>1</v>
      </c>
      <c r="C203" s="173">
        <v>1</v>
      </c>
      <c r="D203" s="158"/>
      <c r="E203" s="158"/>
      <c r="F203" s="174">
        <f t="shared" si="9"/>
        <v>2</v>
      </c>
      <c r="G203" s="175">
        <f t="shared" si="10"/>
        <v>1</v>
      </c>
      <c r="H203" s="176">
        <f t="shared" si="11"/>
        <v>5.5129830751419594E-3</v>
      </c>
    </row>
    <row r="204" spans="1:8" ht="15">
      <c r="A204" s="178" t="s">
        <v>255</v>
      </c>
      <c r="B204" s="158">
        <v>32</v>
      </c>
      <c r="C204" s="173">
        <v>31</v>
      </c>
      <c r="D204" s="158"/>
      <c r="E204" s="158"/>
      <c r="F204" s="174">
        <f t="shared" si="9"/>
        <v>63</v>
      </c>
      <c r="G204" s="175">
        <f t="shared" si="10"/>
        <v>31.5</v>
      </c>
      <c r="H204" s="176">
        <f t="shared" si="11"/>
        <v>0.17365896686697171</v>
      </c>
    </row>
    <row r="205" spans="1:8" ht="15">
      <c r="A205" s="172" t="s">
        <v>49</v>
      </c>
      <c r="B205" s="158">
        <v>811</v>
      </c>
      <c r="C205" s="173">
        <v>977</v>
      </c>
      <c r="D205" s="158"/>
      <c r="E205" s="158"/>
      <c r="F205" s="174">
        <f t="shared" si="9"/>
        <v>1788</v>
      </c>
      <c r="G205" s="175">
        <f t="shared" si="10"/>
        <v>894</v>
      </c>
      <c r="H205" s="176">
        <f t="shared" si="11"/>
        <v>4.928606869176912</v>
      </c>
    </row>
    <row r="206" spans="1:8" ht="15">
      <c r="A206" s="172" t="s">
        <v>256</v>
      </c>
      <c r="B206" s="158">
        <v>0</v>
      </c>
      <c r="C206" s="173">
        <v>0</v>
      </c>
      <c r="D206" s="158"/>
      <c r="E206" s="158"/>
      <c r="F206" s="174">
        <f t="shared" si="9"/>
        <v>0</v>
      </c>
      <c r="G206" s="175">
        <f t="shared" si="10"/>
        <v>0</v>
      </c>
      <c r="H206" s="176">
        <f t="shared" si="11"/>
        <v>0</v>
      </c>
    </row>
    <row r="207" spans="1:8" ht="15">
      <c r="A207" s="178" t="s">
        <v>257</v>
      </c>
      <c r="B207" s="158">
        <v>0</v>
      </c>
      <c r="C207" s="173">
        <v>0</v>
      </c>
      <c r="D207" s="158"/>
      <c r="E207" s="158"/>
      <c r="F207" s="174">
        <f t="shared" si="9"/>
        <v>0</v>
      </c>
      <c r="G207" s="175">
        <f t="shared" si="10"/>
        <v>0</v>
      </c>
      <c r="H207" s="176">
        <f t="shared" si="11"/>
        <v>0</v>
      </c>
    </row>
    <row r="208" spans="1:8" ht="15">
      <c r="A208" s="178" t="s">
        <v>258</v>
      </c>
      <c r="B208" s="158">
        <v>27</v>
      </c>
      <c r="C208" s="173">
        <v>14</v>
      </c>
      <c r="D208" s="158"/>
      <c r="E208" s="158"/>
      <c r="F208" s="174">
        <f t="shared" si="9"/>
        <v>41</v>
      </c>
      <c r="G208" s="175">
        <f t="shared" si="10"/>
        <v>20.5</v>
      </c>
      <c r="H208" s="176">
        <f t="shared" si="11"/>
        <v>0.11301615304041017</v>
      </c>
    </row>
    <row r="209" spans="1:8" ht="15">
      <c r="A209" s="178" t="s">
        <v>259</v>
      </c>
      <c r="B209" s="158">
        <v>8</v>
      </c>
      <c r="C209" s="173">
        <v>5</v>
      </c>
      <c r="D209" s="158"/>
      <c r="E209" s="158"/>
      <c r="F209" s="174">
        <f t="shared" si="9"/>
        <v>13</v>
      </c>
      <c r="G209" s="175">
        <f t="shared" si="10"/>
        <v>6.5</v>
      </c>
      <c r="H209" s="176">
        <f t="shared" si="11"/>
        <v>3.5834389988422734E-2</v>
      </c>
    </row>
    <row r="210" spans="1:8" ht="14.25" customHeight="1">
      <c r="A210" s="172" t="s">
        <v>260</v>
      </c>
      <c r="B210" s="158">
        <v>103</v>
      </c>
      <c r="C210" s="173">
        <v>72</v>
      </c>
      <c r="D210" s="158"/>
      <c r="E210" s="158"/>
      <c r="F210" s="174">
        <f t="shared" si="9"/>
        <v>175</v>
      </c>
      <c r="G210" s="175">
        <f t="shared" si="10"/>
        <v>87.5</v>
      </c>
      <c r="H210" s="176">
        <f t="shared" si="11"/>
        <v>0.4823860190749214</v>
      </c>
    </row>
    <row r="211" spans="1:8" ht="15">
      <c r="A211" s="172" t="s">
        <v>261</v>
      </c>
      <c r="B211" s="158">
        <v>0</v>
      </c>
      <c r="C211" s="173">
        <v>0</v>
      </c>
      <c r="D211" s="158"/>
      <c r="E211" s="158"/>
      <c r="F211" s="174">
        <f t="shared" si="9"/>
        <v>0</v>
      </c>
      <c r="G211" s="175">
        <f t="shared" si="10"/>
        <v>0</v>
      </c>
      <c r="H211" s="176">
        <f t="shared" si="11"/>
        <v>0</v>
      </c>
    </row>
    <row r="212" spans="1:8" ht="15">
      <c r="A212" s="172" t="s">
        <v>262</v>
      </c>
      <c r="B212" s="158">
        <v>0</v>
      </c>
      <c r="C212" s="173">
        <v>0</v>
      </c>
      <c r="D212" s="158"/>
      <c r="E212" s="158"/>
      <c r="F212" s="174">
        <f t="shared" si="9"/>
        <v>0</v>
      </c>
      <c r="G212" s="175">
        <f t="shared" si="10"/>
        <v>0</v>
      </c>
      <c r="H212" s="176">
        <f t="shared" si="11"/>
        <v>0</v>
      </c>
    </row>
    <row r="213" spans="1:8" ht="15">
      <c r="A213" s="172" t="s">
        <v>263</v>
      </c>
      <c r="B213" s="158">
        <v>99</v>
      </c>
      <c r="C213" s="173">
        <v>47</v>
      </c>
      <c r="D213" s="158"/>
      <c r="E213" s="158"/>
      <c r="F213" s="174">
        <f t="shared" si="9"/>
        <v>146</v>
      </c>
      <c r="G213" s="175">
        <f t="shared" si="10"/>
        <v>73</v>
      </c>
      <c r="H213" s="176">
        <f t="shared" si="11"/>
        <v>0.40244776448536301</v>
      </c>
    </row>
    <row r="214" spans="1:8" ht="15">
      <c r="A214" s="178" t="s">
        <v>264</v>
      </c>
      <c r="B214" s="158">
        <v>3</v>
      </c>
      <c r="C214" s="173">
        <v>1</v>
      </c>
      <c r="D214" s="158"/>
      <c r="E214" s="158"/>
      <c r="F214" s="174">
        <f t="shared" si="9"/>
        <v>4</v>
      </c>
      <c r="G214" s="175">
        <f t="shared" si="10"/>
        <v>2</v>
      </c>
      <c r="H214" s="176">
        <f t="shared" si="11"/>
        <v>1.1025966150283919E-2</v>
      </c>
    </row>
    <row r="215" spans="1:8" ht="15">
      <c r="A215" s="178" t="s">
        <v>265</v>
      </c>
      <c r="B215" s="158">
        <v>59</v>
      </c>
      <c r="C215" s="173">
        <v>54</v>
      </c>
      <c r="D215" s="158"/>
      <c r="E215" s="158"/>
      <c r="F215" s="174">
        <f t="shared" si="9"/>
        <v>113</v>
      </c>
      <c r="G215" s="175">
        <f t="shared" si="10"/>
        <v>56.5</v>
      </c>
      <c r="H215" s="176">
        <f t="shared" si="11"/>
        <v>0.31148354374552067</v>
      </c>
    </row>
    <row r="216" spans="1:8" ht="15">
      <c r="A216" s="178" t="s">
        <v>266</v>
      </c>
      <c r="B216" s="158">
        <v>0</v>
      </c>
      <c r="C216" s="173">
        <v>3</v>
      </c>
      <c r="D216" s="158"/>
      <c r="E216" s="158"/>
      <c r="F216" s="174">
        <f t="shared" si="9"/>
        <v>3</v>
      </c>
      <c r="G216" s="175">
        <f t="shared" si="10"/>
        <v>1.5</v>
      </c>
      <c r="H216" s="176">
        <f t="shared" si="11"/>
        <v>8.2694746127129383E-3</v>
      </c>
    </row>
    <row r="217" spans="1:8" ht="15">
      <c r="A217" s="172" t="s">
        <v>267</v>
      </c>
      <c r="B217" s="158">
        <v>0</v>
      </c>
      <c r="C217" s="173">
        <v>0</v>
      </c>
      <c r="D217" s="158"/>
      <c r="E217" s="158"/>
      <c r="F217" s="174">
        <f t="shared" si="9"/>
        <v>0</v>
      </c>
      <c r="G217" s="175">
        <f t="shared" si="10"/>
        <v>0</v>
      </c>
      <c r="H217" s="176">
        <f t="shared" si="11"/>
        <v>0</v>
      </c>
    </row>
    <row r="218" spans="1:8" ht="15">
      <c r="A218" s="172" t="s">
        <v>268</v>
      </c>
      <c r="B218" s="158">
        <v>15</v>
      </c>
      <c r="C218" s="173">
        <v>12</v>
      </c>
      <c r="D218" s="158"/>
      <c r="E218" s="158"/>
      <c r="F218" s="174">
        <f t="shared" si="9"/>
        <v>27</v>
      </c>
      <c r="G218" s="175">
        <f t="shared" si="10"/>
        <v>13.5</v>
      </c>
      <c r="H218" s="176">
        <f t="shared" si="11"/>
        <v>7.4425271514416455E-2</v>
      </c>
    </row>
    <row r="219" spans="1:8" ht="15">
      <c r="A219" s="178" t="s">
        <v>269</v>
      </c>
      <c r="B219" s="158">
        <v>0</v>
      </c>
      <c r="C219" s="173">
        <v>0</v>
      </c>
      <c r="D219" s="158"/>
      <c r="E219" s="158"/>
      <c r="F219" s="174">
        <f t="shared" si="9"/>
        <v>0</v>
      </c>
      <c r="G219" s="175">
        <f t="shared" si="10"/>
        <v>0</v>
      </c>
      <c r="H219" s="176">
        <f t="shared" si="11"/>
        <v>0</v>
      </c>
    </row>
    <row r="220" spans="1:8" ht="15">
      <c r="A220" s="172" t="s">
        <v>270</v>
      </c>
      <c r="B220" s="158">
        <v>0</v>
      </c>
      <c r="C220" s="173">
        <v>2</v>
      </c>
      <c r="D220" s="158"/>
      <c r="E220" s="158"/>
      <c r="F220" s="174">
        <f t="shared" si="9"/>
        <v>2</v>
      </c>
      <c r="G220" s="175">
        <f t="shared" si="10"/>
        <v>1</v>
      </c>
      <c r="H220" s="176">
        <f t="shared" si="11"/>
        <v>5.5129830751419594E-3</v>
      </c>
    </row>
    <row r="221" spans="1:8" ht="15">
      <c r="A221" s="178" t="s">
        <v>271</v>
      </c>
      <c r="B221" s="158">
        <v>0</v>
      </c>
      <c r="C221" s="173">
        <v>0</v>
      </c>
      <c r="D221" s="158"/>
      <c r="E221" s="158"/>
      <c r="F221" s="174">
        <f t="shared" si="9"/>
        <v>0</v>
      </c>
      <c r="G221" s="175">
        <f t="shared" si="10"/>
        <v>0</v>
      </c>
      <c r="H221" s="176">
        <f t="shared" si="11"/>
        <v>0</v>
      </c>
    </row>
    <row r="222" spans="1:8" ht="15">
      <c r="A222" s="172" t="s">
        <v>272</v>
      </c>
      <c r="B222" s="158">
        <v>16</v>
      </c>
      <c r="C222" s="173">
        <v>11</v>
      </c>
      <c r="D222" s="158"/>
      <c r="E222" s="158"/>
      <c r="F222" s="174">
        <f t="shared" si="9"/>
        <v>27</v>
      </c>
      <c r="G222" s="175">
        <f t="shared" si="10"/>
        <v>13.5</v>
      </c>
      <c r="H222" s="176">
        <f t="shared" si="11"/>
        <v>7.4425271514416455E-2</v>
      </c>
    </row>
    <row r="223" spans="1:8" ht="15">
      <c r="A223" s="172" t="s">
        <v>273</v>
      </c>
      <c r="B223" s="158">
        <v>7</v>
      </c>
      <c r="C223" s="173">
        <v>1</v>
      </c>
      <c r="D223" s="158"/>
      <c r="E223" s="158"/>
      <c r="F223" s="174">
        <f t="shared" si="9"/>
        <v>8</v>
      </c>
      <c r="G223" s="175">
        <f t="shared" si="10"/>
        <v>4</v>
      </c>
      <c r="H223" s="176">
        <f t="shared" si="11"/>
        <v>2.2051932300567838E-2</v>
      </c>
    </row>
    <row r="224" spans="1:8" ht="15">
      <c r="A224" s="185" t="s">
        <v>274</v>
      </c>
      <c r="B224" s="158">
        <v>47</v>
      </c>
      <c r="C224" s="173">
        <v>26</v>
      </c>
      <c r="D224" s="158"/>
      <c r="E224" s="158"/>
      <c r="F224" s="174">
        <f t="shared" si="9"/>
        <v>73</v>
      </c>
      <c r="G224" s="175">
        <f t="shared" si="10"/>
        <v>36.5</v>
      </c>
      <c r="H224" s="176">
        <f t="shared" si="11"/>
        <v>0.20122388224268151</v>
      </c>
    </row>
    <row r="225" spans="1:8" ht="15">
      <c r="A225" s="172" t="s">
        <v>275</v>
      </c>
      <c r="B225" s="158">
        <v>26</v>
      </c>
      <c r="C225" s="173">
        <v>23</v>
      </c>
      <c r="D225" s="158"/>
      <c r="E225" s="158"/>
      <c r="F225" s="174">
        <f t="shared" si="9"/>
        <v>49</v>
      </c>
      <c r="G225" s="175">
        <f t="shared" si="10"/>
        <v>24.5</v>
      </c>
      <c r="H225" s="176">
        <f t="shared" si="11"/>
        <v>0.135068085340978</v>
      </c>
    </row>
    <row r="226" spans="1:8" ht="15">
      <c r="A226" s="172" t="s">
        <v>276</v>
      </c>
      <c r="B226" s="158">
        <v>0</v>
      </c>
      <c r="C226" s="173">
        <v>1</v>
      </c>
      <c r="D226" s="158"/>
      <c r="E226" s="158"/>
      <c r="F226" s="174">
        <f t="shared" si="9"/>
        <v>1</v>
      </c>
      <c r="G226" s="175">
        <f t="shared" si="10"/>
        <v>0.5</v>
      </c>
      <c r="H226" s="176">
        <f t="shared" si="11"/>
        <v>2.7564915375709797E-3</v>
      </c>
    </row>
    <row r="227" spans="1:8" ht="15">
      <c r="A227" s="172" t="s">
        <v>277</v>
      </c>
      <c r="B227" s="158">
        <v>5</v>
      </c>
      <c r="C227" s="173">
        <v>14</v>
      </c>
      <c r="D227" s="158"/>
      <c r="E227" s="158"/>
      <c r="F227" s="174">
        <f t="shared" si="9"/>
        <v>19</v>
      </c>
      <c r="G227" s="175">
        <f t="shared" si="10"/>
        <v>9.5</v>
      </c>
      <c r="H227" s="176">
        <f t="shared" si="11"/>
        <v>5.2373339213848617E-2</v>
      </c>
    </row>
    <row r="228" spans="1:8" ht="15">
      <c r="A228" s="172" t="s">
        <v>278</v>
      </c>
      <c r="B228" s="158">
        <v>514</v>
      </c>
      <c r="C228" s="173">
        <v>480</v>
      </c>
      <c r="D228" s="158"/>
      <c r="E228" s="158"/>
      <c r="F228" s="174">
        <f t="shared" si="9"/>
        <v>994</v>
      </c>
      <c r="G228" s="175">
        <f t="shared" si="10"/>
        <v>497</v>
      </c>
      <c r="H228" s="176">
        <f t="shared" si="11"/>
        <v>2.7399525883455538</v>
      </c>
    </row>
    <row r="229" spans="1:8" ht="15">
      <c r="A229" s="172" t="s">
        <v>279</v>
      </c>
      <c r="B229" s="158">
        <v>3</v>
      </c>
      <c r="C229" s="173">
        <v>0</v>
      </c>
      <c r="D229" s="158"/>
      <c r="E229" s="158"/>
      <c r="F229" s="174">
        <f t="shared" si="9"/>
        <v>3</v>
      </c>
      <c r="G229" s="175">
        <f t="shared" si="10"/>
        <v>1.5</v>
      </c>
      <c r="H229" s="176">
        <f t="shared" si="11"/>
        <v>8.2694746127129383E-3</v>
      </c>
    </row>
    <row r="230" spans="1:8" ht="15">
      <c r="A230" s="178" t="s">
        <v>280</v>
      </c>
      <c r="B230" s="158">
        <v>2</v>
      </c>
      <c r="C230" s="173">
        <v>3</v>
      </c>
      <c r="D230" s="158"/>
      <c r="E230" s="158"/>
      <c r="F230" s="174">
        <f t="shared" si="9"/>
        <v>5</v>
      </c>
      <c r="G230" s="175">
        <f t="shared" si="10"/>
        <v>2.5</v>
      </c>
      <c r="H230" s="176">
        <f t="shared" si="11"/>
        <v>1.3782457687854899E-2</v>
      </c>
    </row>
    <row r="231" spans="1:8" ht="15">
      <c r="A231" s="178" t="s">
        <v>281</v>
      </c>
      <c r="B231" s="158">
        <v>0</v>
      </c>
      <c r="C231" s="173">
        <v>0</v>
      </c>
      <c r="D231" s="158"/>
      <c r="E231" s="158"/>
      <c r="F231" s="174">
        <f t="shared" si="9"/>
        <v>0</v>
      </c>
      <c r="G231" s="175">
        <f t="shared" si="10"/>
        <v>0</v>
      </c>
      <c r="H231" s="176">
        <f t="shared" si="11"/>
        <v>0</v>
      </c>
    </row>
    <row r="232" spans="1:8" ht="15">
      <c r="A232" s="178" t="s">
        <v>282</v>
      </c>
      <c r="B232" s="158">
        <v>80</v>
      </c>
      <c r="C232" s="173">
        <v>117</v>
      </c>
      <c r="D232" s="158"/>
      <c r="E232" s="158"/>
      <c r="F232" s="174">
        <f t="shared" si="9"/>
        <v>197</v>
      </c>
      <c r="G232" s="175">
        <f t="shared" si="10"/>
        <v>98.5</v>
      </c>
      <c r="H232" s="176">
        <f t="shared" si="11"/>
        <v>0.54302883290148307</v>
      </c>
    </row>
    <row r="233" spans="1:8" ht="15">
      <c r="A233" s="178" t="s">
        <v>283</v>
      </c>
      <c r="B233" s="158">
        <v>0</v>
      </c>
      <c r="C233" s="173">
        <v>2</v>
      </c>
      <c r="D233" s="158"/>
      <c r="E233" s="179"/>
      <c r="F233" s="174">
        <f t="shared" si="9"/>
        <v>2</v>
      </c>
      <c r="G233" s="175">
        <f t="shared" si="10"/>
        <v>1</v>
      </c>
      <c r="H233" s="176">
        <f t="shared" si="11"/>
        <v>5.5129830751419594E-3</v>
      </c>
    </row>
    <row r="234" spans="1:8" ht="15">
      <c r="A234" s="178" t="s">
        <v>284</v>
      </c>
      <c r="B234" s="158">
        <v>0</v>
      </c>
      <c r="C234" s="173">
        <v>0</v>
      </c>
      <c r="D234" s="158"/>
      <c r="E234" s="158"/>
      <c r="F234" s="174">
        <f t="shared" si="9"/>
        <v>0</v>
      </c>
      <c r="G234" s="175">
        <f t="shared" si="10"/>
        <v>0</v>
      </c>
      <c r="H234" s="176">
        <f t="shared" si="11"/>
        <v>0</v>
      </c>
    </row>
    <row r="235" spans="1:8" ht="15">
      <c r="A235" s="178" t="s">
        <v>285</v>
      </c>
      <c r="B235" s="158">
        <v>26</v>
      </c>
      <c r="C235" s="173">
        <v>29</v>
      </c>
      <c r="D235" s="158"/>
      <c r="E235" s="158"/>
      <c r="F235" s="174">
        <f t="shared" si="9"/>
        <v>55</v>
      </c>
      <c r="G235" s="175">
        <f t="shared" si="10"/>
        <v>27.5</v>
      </c>
      <c r="H235" s="176">
        <f t="shared" si="11"/>
        <v>0.1516070345664039</v>
      </c>
    </row>
    <row r="236" spans="1:8" ht="15">
      <c r="A236" s="178" t="s">
        <v>286</v>
      </c>
      <c r="B236" s="158">
        <v>35</v>
      </c>
      <c r="C236" s="173">
        <v>41</v>
      </c>
      <c r="D236" s="158"/>
      <c r="E236" s="158"/>
      <c r="F236" s="174">
        <f t="shared" si="9"/>
        <v>76</v>
      </c>
      <c r="G236" s="175">
        <f t="shared" si="10"/>
        <v>38</v>
      </c>
      <c r="H236" s="176">
        <f t="shared" si="11"/>
        <v>0.20949335685539447</v>
      </c>
    </row>
    <row r="237" spans="1:8" ht="15">
      <c r="A237" s="172" t="s">
        <v>287</v>
      </c>
      <c r="B237" s="158">
        <v>3</v>
      </c>
      <c r="C237" s="173">
        <v>0</v>
      </c>
      <c r="D237" s="158"/>
      <c r="E237" s="158"/>
      <c r="F237" s="174">
        <f t="shared" si="9"/>
        <v>3</v>
      </c>
      <c r="G237" s="175">
        <f t="shared" si="10"/>
        <v>1.5</v>
      </c>
      <c r="H237" s="176">
        <f t="shared" si="11"/>
        <v>8.2694746127129383E-3</v>
      </c>
    </row>
    <row r="238" spans="1:8" ht="15">
      <c r="A238" s="172" t="s">
        <v>288</v>
      </c>
      <c r="B238" s="158">
        <v>227</v>
      </c>
      <c r="C238" s="173">
        <v>193</v>
      </c>
      <c r="D238" s="158"/>
      <c r="E238" s="158"/>
      <c r="F238" s="174">
        <f t="shared" si="9"/>
        <v>420</v>
      </c>
      <c r="G238" s="175">
        <f t="shared" si="10"/>
        <v>210</v>
      </c>
      <c r="H238" s="176">
        <f t="shared" si="11"/>
        <v>1.1577264457798113</v>
      </c>
    </row>
    <row r="239" spans="1:8" ht="15">
      <c r="A239" s="172" t="s">
        <v>289</v>
      </c>
      <c r="B239" s="158">
        <v>198</v>
      </c>
      <c r="C239" s="173">
        <v>132</v>
      </c>
      <c r="D239" s="158"/>
      <c r="E239" s="158"/>
      <c r="F239" s="174">
        <f t="shared" si="9"/>
        <v>330</v>
      </c>
      <c r="G239" s="175">
        <f t="shared" si="10"/>
        <v>165</v>
      </c>
      <c r="H239" s="176">
        <f t="shared" si="11"/>
        <v>0.90964220739842339</v>
      </c>
    </row>
    <row r="240" spans="1:8" ht="15">
      <c r="A240" s="172" t="s">
        <v>290</v>
      </c>
      <c r="B240" s="158">
        <v>0</v>
      </c>
      <c r="C240" s="173">
        <v>7</v>
      </c>
      <c r="D240" s="158"/>
      <c r="E240" s="158"/>
      <c r="F240" s="174">
        <f t="shared" si="9"/>
        <v>7</v>
      </c>
      <c r="G240" s="175">
        <f t="shared" si="10"/>
        <v>3.5</v>
      </c>
      <c r="H240" s="176">
        <f t="shared" si="11"/>
        <v>1.9295440762996857E-2</v>
      </c>
    </row>
    <row r="241" spans="1:8" ht="15">
      <c r="A241" s="172" t="s">
        <v>291</v>
      </c>
      <c r="B241" s="158">
        <v>0</v>
      </c>
      <c r="C241" s="173">
        <v>0</v>
      </c>
      <c r="D241" s="158"/>
      <c r="E241" s="158"/>
      <c r="F241" s="174">
        <f t="shared" si="9"/>
        <v>0</v>
      </c>
      <c r="G241" s="175">
        <f t="shared" si="10"/>
        <v>0</v>
      </c>
      <c r="H241" s="176">
        <f t="shared" si="11"/>
        <v>0</v>
      </c>
    </row>
    <row r="242" spans="1:8" ht="15">
      <c r="A242" s="172" t="s">
        <v>292</v>
      </c>
      <c r="B242" s="158">
        <v>15</v>
      </c>
      <c r="C242" s="173">
        <v>20</v>
      </c>
      <c r="D242" s="158"/>
      <c r="E242" s="158"/>
      <c r="F242" s="174">
        <f t="shared" si="9"/>
        <v>35</v>
      </c>
      <c r="G242" s="175">
        <f t="shared" si="10"/>
        <v>17.5</v>
      </c>
      <c r="H242" s="176">
        <f t="shared" si="11"/>
        <v>9.6477203814984286E-2</v>
      </c>
    </row>
    <row r="243" spans="1:8" ht="15">
      <c r="A243" s="172" t="s">
        <v>293</v>
      </c>
      <c r="B243" s="158">
        <v>234</v>
      </c>
      <c r="C243" s="173">
        <v>299</v>
      </c>
      <c r="D243" s="158"/>
      <c r="E243" s="158"/>
      <c r="F243" s="174">
        <f t="shared" si="9"/>
        <v>533</v>
      </c>
      <c r="G243" s="175">
        <f t="shared" si="10"/>
        <v>266.5</v>
      </c>
      <c r="H243" s="176">
        <f t="shared" si="11"/>
        <v>1.4692099895253321</v>
      </c>
    </row>
    <row r="244" spans="1:8" ht="15">
      <c r="A244" s="172" t="s">
        <v>294</v>
      </c>
      <c r="B244" s="158">
        <v>0</v>
      </c>
      <c r="C244" s="173">
        <v>1</v>
      </c>
      <c r="D244" s="158"/>
      <c r="E244" s="158"/>
      <c r="F244" s="174">
        <f t="shared" si="9"/>
        <v>1</v>
      </c>
      <c r="G244" s="175">
        <f t="shared" si="10"/>
        <v>0.5</v>
      </c>
      <c r="H244" s="176">
        <f t="shared" si="11"/>
        <v>2.7564915375709797E-3</v>
      </c>
    </row>
    <row r="245" spans="1:8" ht="16.5" customHeight="1">
      <c r="A245" s="183" t="s">
        <v>295</v>
      </c>
      <c r="B245" s="186">
        <v>16</v>
      </c>
      <c r="C245" s="186">
        <v>36</v>
      </c>
      <c r="D245" s="186"/>
      <c r="E245" s="186"/>
      <c r="F245" s="174">
        <f t="shared" si="9"/>
        <v>52</v>
      </c>
      <c r="G245" s="175">
        <f t="shared" si="10"/>
        <v>26</v>
      </c>
      <c r="H245" s="176">
        <f t="shared" si="11"/>
        <v>0.14333755995369094</v>
      </c>
    </row>
    <row r="246" spans="1:8" ht="16.5" customHeight="1">
      <c r="A246" s="178" t="s">
        <v>296</v>
      </c>
      <c r="B246" s="158">
        <v>307</v>
      </c>
      <c r="C246" s="173">
        <v>213</v>
      </c>
      <c r="D246" s="158"/>
      <c r="E246" s="158"/>
      <c r="F246" s="174">
        <f t="shared" si="9"/>
        <v>520</v>
      </c>
      <c r="G246" s="175">
        <f t="shared" si="10"/>
        <v>260</v>
      </c>
      <c r="H246" s="176">
        <f t="shared" si="11"/>
        <v>1.4333755995369095</v>
      </c>
    </row>
    <row r="247" spans="1:8" ht="15">
      <c r="A247" s="172" t="s">
        <v>54</v>
      </c>
      <c r="B247" s="158">
        <v>469</v>
      </c>
      <c r="C247" s="173">
        <v>649</v>
      </c>
      <c r="D247" s="158"/>
      <c r="E247" s="158"/>
      <c r="F247" s="174">
        <f t="shared" si="9"/>
        <v>1118</v>
      </c>
      <c r="G247" s="175">
        <f t="shared" si="10"/>
        <v>559</v>
      </c>
      <c r="H247" s="176">
        <f t="shared" si="11"/>
        <v>3.0817575390043555</v>
      </c>
    </row>
    <row r="248" spans="1:8" ht="19.5" customHeight="1">
      <c r="A248" s="172" t="s">
        <v>297</v>
      </c>
      <c r="B248" s="158">
        <v>14</v>
      </c>
      <c r="C248" s="173">
        <v>12</v>
      </c>
      <c r="D248" s="158"/>
      <c r="E248" s="158"/>
      <c r="F248" s="174">
        <f t="shared" si="9"/>
        <v>26</v>
      </c>
      <c r="G248" s="175">
        <f t="shared" si="10"/>
        <v>13</v>
      </c>
      <c r="H248" s="176">
        <f t="shared" si="11"/>
        <v>7.1668779976845468E-2</v>
      </c>
    </row>
    <row r="249" spans="1:8" ht="15">
      <c r="A249" s="172" t="s">
        <v>298</v>
      </c>
      <c r="B249" s="158">
        <v>8</v>
      </c>
      <c r="C249" s="173">
        <v>3</v>
      </c>
      <c r="D249" s="158"/>
      <c r="E249" s="158"/>
      <c r="F249" s="174">
        <f t="shared" si="9"/>
        <v>11</v>
      </c>
      <c r="G249" s="175">
        <f t="shared" si="10"/>
        <v>5.5</v>
      </c>
      <c r="H249" s="176">
        <f t="shared" si="11"/>
        <v>3.0321406913280776E-2</v>
      </c>
    </row>
    <row r="250" spans="1:8" ht="15">
      <c r="A250" s="172" t="s">
        <v>299</v>
      </c>
      <c r="B250" s="158">
        <v>5</v>
      </c>
      <c r="C250" s="173">
        <v>6</v>
      </c>
      <c r="D250" s="158"/>
      <c r="E250" s="158"/>
      <c r="F250" s="174">
        <f t="shared" si="9"/>
        <v>11</v>
      </c>
      <c r="G250" s="175">
        <f t="shared" si="10"/>
        <v>5.5</v>
      </c>
      <c r="H250" s="176">
        <f t="shared" si="11"/>
        <v>3.0321406913280776E-2</v>
      </c>
    </row>
    <row r="251" spans="1:8" ht="15">
      <c r="A251" s="187" t="s">
        <v>300</v>
      </c>
      <c r="B251" s="158">
        <v>16</v>
      </c>
      <c r="C251" s="173">
        <v>14</v>
      </c>
      <c r="D251" s="158"/>
      <c r="E251" s="158"/>
      <c r="F251" s="174">
        <f t="shared" si="9"/>
        <v>30</v>
      </c>
      <c r="G251" s="175">
        <f t="shared" si="10"/>
        <v>15</v>
      </c>
      <c r="H251" s="176">
        <f t="shared" si="11"/>
        <v>8.269474612712939E-2</v>
      </c>
    </row>
    <row r="252" spans="1:8" ht="31.5" customHeight="1">
      <c r="A252" s="189" t="s">
        <v>8</v>
      </c>
      <c r="B252" s="194">
        <f>SUBTOTAL(109,Assuntos_2025[1° trim 2025])</f>
        <v>19179</v>
      </c>
      <c r="C252" s="194">
        <f>SUBTOTAL(109,Assuntos_2025[2° trim 2025])</f>
        <v>17099</v>
      </c>
      <c r="D252" s="194"/>
      <c r="E252" s="194"/>
      <c r="F252" s="165">
        <f>SUBTOTAL(109,Assuntos_2025[Total])</f>
        <v>36278</v>
      </c>
      <c r="G252" s="165">
        <f>SUBTOTAL(109,Assuntos_2025[Média])</f>
        <v>18139</v>
      </c>
      <c r="H252" s="166">
        <f>SUBTOTAL(109,Assuntos_2025[% Total])</f>
        <v>99.999999999999972</v>
      </c>
    </row>
    <row r="253" spans="1:8">
      <c r="A253" s="190"/>
      <c r="B253" s="191"/>
      <c r="C253" s="191"/>
      <c r="D253" s="191"/>
      <c r="E253" s="191"/>
    </row>
    <row r="254" spans="1:8">
      <c r="A254" s="133"/>
    </row>
    <row r="255" spans="1:8" ht="51">
      <c r="A255" s="122" t="s">
        <v>62</v>
      </c>
      <c r="B255" s="191"/>
      <c r="C255" s="191"/>
      <c r="D255" s="191"/>
      <c r="E255" s="191"/>
    </row>
    <row r="256" spans="1:8">
      <c r="A256" s="192" t="s">
        <v>63</v>
      </c>
    </row>
    <row r="257" spans="1:8">
      <c r="A257" s="193"/>
      <c r="B257" s="2"/>
      <c r="C257" s="2"/>
      <c r="D257" s="2"/>
      <c r="E257" s="2"/>
      <c r="F257" s="2"/>
      <c r="G257" s="2"/>
      <c r="H257" s="2"/>
    </row>
    <row r="258" spans="1:8" ht="25.5">
      <c r="A258" s="123" t="s">
        <v>301</v>
      </c>
    </row>
  </sheetData>
  <hyperlinks>
    <hyperlink ref="A256" r:id="rId1" xr:uid="{00000000-0004-0000-0300-000000000000}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P48"/>
  <sheetViews>
    <sheetView showGridLines="0" zoomScale="90" zoomScaleNormal="90" workbookViewId="0">
      <selection activeCell="J14" sqref="J14"/>
    </sheetView>
  </sheetViews>
  <sheetFormatPr defaultColWidth="5.5703125" defaultRowHeight="20.100000000000001" customHeight="1"/>
  <cols>
    <col min="1" max="1" width="5.5703125" style="2"/>
    <col min="2" max="2" width="58.7109375" style="2" customWidth="1"/>
    <col min="3" max="3" width="11.28515625" style="2" customWidth="1"/>
    <col min="4" max="4" width="11.42578125" style="12" customWidth="1"/>
    <col min="5" max="5" width="11" style="2" customWidth="1"/>
    <col min="6" max="6" width="11.5703125" style="33" customWidth="1"/>
    <col min="7" max="7" width="8.28515625" style="2" customWidth="1"/>
    <col min="8" max="8" width="9.42578125" style="33" customWidth="1"/>
    <col min="9" max="9" width="23.42578125" style="2" customWidth="1"/>
    <col min="10" max="10" width="7.5703125" style="2" customWidth="1"/>
    <col min="11" max="11" width="7.140625" style="2" bestFit="1" customWidth="1"/>
    <col min="12" max="12" width="7.5703125" style="2" bestFit="1" customWidth="1"/>
    <col min="13" max="13" width="7.140625" style="2" bestFit="1" customWidth="1"/>
    <col min="14" max="14" width="6.85546875" style="2" customWidth="1"/>
    <col min="15" max="15" width="6.7109375" style="2" bestFit="1" customWidth="1"/>
    <col min="16" max="16" width="7.140625" style="2" bestFit="1" customWidth="1"/>
    <col min="17" max="17" width="15.85546875" style="2" bestFit="1" customWidth="1"/>
    <col min="18" max="216" width="9.140625" style="2" customWidth="1"/>
    <col min="217" max="217" width="58.28515625" style="2" customWidth="1"/>
    <col min="218" max="218" width="3.7109375" style="2" bestFit="1" customWidth="1"/>
    <col min="219" max="219" width="5.5703125" style="2" bestFit="1" customWidth="1"/>
    <col min="220" max="220" width="5.5703125" style="2" customWidth="1"/>
    <col min="221" max="16384" width="5.5703125" style="2"/>
  </cols>
  <sheetData>
    <row r="1" spans="2:20" ht="20.100000000000001" customHeight="1">
      <c r="B1" s="59" t="s">
        <v>0</v>
      </c>
      <c r="C1" s="59"/>
      <c r="D1" s="60"/>
      <c r="E1" s="59"/>
      <c r="H1" s="42"/>
      <c r="I1" s="8">
        <f>Unidades_2025[[#Totals],[2° trim 2025]]</f>
        <v>17099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2:20" ht="20.100000000000001" customHeight="1">
      <c r="B2" s="1" t="s">
        <v>1</v>
      </c>
      <c r="C2" s="1"/>
      <c r="D2" s="13"/>
      <c r="E2" s="1"/>
      <c r="H2" s="42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2:20" ht="20.100000000000001" customHeight="1">
      <c r="B3" s="1"/>
      <c r="C3" s="1"/>
      <c r="D3" s="13"/>
      <c r="E3" s="1"/>
      <c r="H3" s="42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2:20" ht="20.100000000000001" customHeight="1">
      <c r="B4" s="1" t="s">
        <v>302</v>
      </c>
      <c r="C4" s="1"/>
      <c r="D4" s="13"/>
      <c r="E4" s="1"/>
      <c r="H4" s="42"/>
      <c r="I4" s="41"/>
      <c r="J4" s="41"/>
      <c r="K4" s="41"/>
      <c r="L4" s="41"/>
      <c r="M4" s="41"/>
      <c r="N4" s="41"/>
      <c r="O4" s="41"/>
      <c r="P4" s="41"/>
      <c r="R4" s="41"/>
      <c r="S4" s="41"/>
      <c r="T4" s="36"/>
    </row>
    <row r="5" spans="2:20" ht="20.100000000000001" customHeight="1">
      <c r="F5" s="2"/>
      <c r="G5" s="33"/>
      <c r="H5" s="41"/>
      <c r="I5" s="42"/>
      <c r="J5" s="41"/>
      <c r="K5" s="41"/>
      <c r="L5" s="41"/>
      <c r="M5" s="41"/>
      <c r="N5" s="41"/>
      <c r="O5" s="41"/>
      <c r="P5" s="41"/>
      <c r="Q5" s="41"/>
      <c r="R5" s="41"/>
      <c r="S5" s="41"/>
      <c r="T5" s="36"/>
    </row>
    <row r="6" spans="2:20" ht="57.75" customHeight="1">
      <c r="B6" s="81" t="s">
        <v>303</v>
      </c>
      <c r="C6" s="15" t="s">
        <v>27</v>
      </c>
      <c r="D6" s="15" t="s">
        <v>28</v>
      </c>
      <c r="E6" s="15" t="s">
        <v>29</v>
      </c>
      <c r="F6" s="15" t="s">
        <v>30</v>
      </c>
      <c r="G6" s="14" t="s">
        <v>8</v>
      </c>
      <c r="H6" s="14" t="s">
        <v>9</v>
      </c>
      <c r="I6" s="104" t="s">
        <v>304</v>
      </c>
    </row>
    <row r="7" spans="2:20" ht="20.100000000000001" customHeight="1">
      <c r="B7" s="67" t="s">
        <v>305</v>
      </c>
      <c r="C7" s="5">
        <v>1989</v>
      </c>
      <c r="D7" s="5">
        <v>2013</v>
      </c>
      <c r="E7" s="5"/>
      <c r="F7" s="5"/>
      <c r="G7" s="6">
        <f t="shared" ref="G7:G16" si="0">SUM(C7:F7)</f>
        <v>4002</v>
      </c>
      <c r="H7" s="62">
        <f t="shared" ref="H7:H17" si="1">AVERAGE(C7:F7)</f>
        <v>2001</v>
      </c>
      <c r="I7" s="11">
        <f>(D7*100)/$I$1</f>
        <v>11.772618281770864</v>
      </c>
      <c r="L7" s="33"/>
      <c r="M7" s="33"/>
    </row>
    <row r="8" spans="2:20" ht="20.100000000000001" customHeight="1">
      <c r="B8" s="67" t="s">
        <v>306</v>
      </c>
      <c r="C8" s="5">
        <v>1771</v>
      </c>
      <c r="D8" s="5">
        <v>1601</v>
      </c>
      <c r="E8" s="5"/>
      <c r="F8" s="5"/>
      <c r="G8" s="6">
        <f t="shared" si="0"/>
        <v>3372</v>
      </c>
      <c r="H8" s="62">
        <f t="shared" si="1"/>
        <v>1686</v>
      </c>
      <c r="I8" s="11">
        <f t="shared" ref="I8:I16" si="2">(D8*100)/$I$1</f>
        <v>9.3631206503304281</v>
      </c>
      <c r="L8" s="33"/>
      <c r="M8" s="33"/>
    </row>
    <row r="9" spans="2:20" ht="20.100000000000001" customHeight="1">
      <c r="B9" s="67" t="s">
        <v>307</v>
      </c>
      <c r="C9" s="5">
        <v>1810</v>
      </c>
      <c r="D9" s="5">
        <v>1192</v>
      </c>
      <c r="E9" s="5"/>
      <c r="F9" s="5"/>
      <c r="G9" s="6">
        <f t="shared" si="0"/>
        <v>3002</v>
      </c>
      <c r="H9" s="62">
        <f t="shared" si="1"/>
        <v>1501</v>
      </c>
      <c r="I9" s="11">
        <f t="shared" si="2"/>
        <v>6.9711679045558217</v>
      </c>
      <c r="L9" s="33"/>
      <c r="M9" s="33"/>
    </row>
    <row r="10" spans="2:20" ht="20.100000000000001" customHeight="1">
      <c r="B10" s="67" t="s">
        <v>308</v>
      </c>
      <c r="C10" s="5">
        <v>1525</v>
      </c>
      <c r="D10" s="5">
        <v>967</v>
      </c>
      <c r="E10" s="5"/>
      <c r="F10" s="5"/>
      <c r="G10" s="6">
        <f t="shared" si="0"/>
        <v>2492</v>
      </c>
      <c r="H10" s="62">
        <f t="shared" si="1"/>
        <v>1246</v>
      </c>
      <c r="I10" s="11">
        <f t="shared" si="2"/>
        <v>5.6553014796186911</v>
      </c>
      <c r="L10" s="33"/>
      <c r="M10" s="33"/>
    </row>
    <row r="11" spans="2:20" ht="20.100000000000001" customHeight="1">
      <c r="B11" s="67" t="s">
        <v>309</v>
      </c>
      <c r="C11" s="5">
        <v>1216</v>
      </c>
      <c r="D11" s="5">
        <v>1142</v>
      </c>
      <c r="E11" s="5"/>
      <c r="F11" s="5"/>
      <c r="G11" s="6">
        <f t="shared" si="0"/>
        <v>2358</v>
      </c>
      <c r="H11" s="62">
        <f t="shared" si="1"/>
        <v>1179</v>
      </c>
      <c r="I11" s="11">
        <f t="shared" si="2"/>
        <v>6.6787531434586818</v>
      </c>
      <c r="L11" s="33"/>
      <c r="M11" s="33"/>
    </row>
    <row r="12" spans="2:20" ht="20.100000000000001" customHeight="1">
      <c r="B12" s="67" t="s">
        <v>310</v>
      </c>
      <c r="C12" s="5">
        <v>1142</v>
      </c>
      <c r="D12" s="5">
        <v>1190</v>
      </c>
      <c r="E12" s="5"/>
      <c r="F12" s="5"/>
      <c r="G12" s="6">
        <f t="shared" si="0"/>
        <v>2332</v>
      </c>
      <c r="H12" s="62">
        <f t="shared" si="1"/>
        <v>1166</v>
      </c>
      <c r="I12" s="11">
        <f t="shared" si="2"/>
        <v>6.9594713141119362</v>
      </c>
      <c r="L12" s="33"/>
      <c r="M12" s="33"/>
    </row>
    <row r="13" spans="2:20" ht="20.100000000000001" customHeight="1">
      <c r="B13" s="67" t="s">
        <v>47</v>
      </c>
      <c r="C13" s="5">
        <v>1103</v>
      </c>
      <c r="D13" s="5">
        <v>1201</v>
      </c>
      <c r="E13" s="5"/>
      <c r="F13" s="5"/>
      <c r="G13" s="6">
        <f t="shared" si="0"/>
        <v>2304</v>
      </c>
      <c r="H13" s="62">
        <f t="shared" si="1"/>
        <v>1152</v>
      </c>
      <c r="I13" s="11">
        <f t="shared" si="2"/>
        <v>7.0238025615533068</v>
      </c>
      <c r="L13" s="33"/>
      <c r="M13" s="33"/>
    </row>
    <row r="14" spans="2:20" ht="20.100000000000001" customHeight="1">
      <c r="B14" s="67" t="s">
        <v>311</v>
      </c>
      <c r="C14" s="5">
        <v>1020</v>
      </c>
      <c r="D14" s="5">
        <v>907</v>
      </c>
      <c r="E14" s="5"/>
      <c r="F14" s="5"/>
      <c r="G14" s="6">
        <f t="shared" si="0"/>
        <v>1927</v>
      </c>
      <c r="H14" s="62">
        <f t="shared" si="1"/>
        <v>963.5</v>
      </c>
      <c r="I14" s="11">
        <f t="shared" si="2"/>
        <v>5.3044037663021228</v>
      </c>
      <c r="L14" s="33"/>
      <c r="M14" s="33"/>
    </row>
    <row r="15" spans="2:20" ht="20.100000000000001" customHeight="1">
      <c r="B15" s="67" t="s">
        <v>312</v>
      </c>
      <c r="C15" s="5">
        <v>1040</v>
      </c>
      <c r="D15" s="5">
        <v>825</v>
      </c>
      <c r="E15" s="5"/>
      <c r="F15" s="5"/>
      <c r="G15" s="6">
        <f t="shared" si="0"/>
        <v>1865</v>
      </c>
      <c r="H15" s="62">
        <f t="shared" si="1"/>
        <v>932.5</v>
      </c>
      <c r="I15" s="11">
        <f t="shared" si="2"/>
        <v>4.8248435581028133</v>
      </c>
      <c r="L15" s="33"/>
      <c r="M15" s="33"/>
    </row>
    <row r="16" spans="2:20" ht="20.100000000000001" customHeight="1">
      <c r="B16" s="67" t="s">
        <v>313</v>
      </c>
      <c r="C16" s="5">
        <v>486</v>
      </c>
      <c r="D16" s="5">
        <v>365</v>
      </c>
      <c r="E16" s="5"/>
      <c r="F16" s="5"/>
      <c r="G16" s="6">
        <f t="shared" si="0"/>
        <v>851</v>
      </c>
      <c r="H16" s="62">
        <f t="shared" si="1"/>
        <v>425.5</v>
      </c>
      <c r="I16" s="11">
        <f t="shared" si="2"/>
        <v>2.1346277560091234</v>
      </c>
      <c r="L16" s="33"/>
      <c r="M16" s="33"/>
    </row>
    <row r="17" spans="2:42" ht="20.100000000000001" customHeight="1">
      <c r="B17" s="106" t="s">
        <v>314</v>
      </c>
      <c r="C17" s="98">
        <f>SUM(C7:C16)</f>
        <v>13102</v>
      </c>
      <c r="D17" s="98">
        <f>SUM(D7:D16)</f>
        <v>11403</v>
      </c>
      <c r="E17" s="98"/>
      <c r="F17" s="98"/>
      <c r="G17" s="99">
        <f>SUM(G7:G16)</f>
        <v>24505</v>
      </c>
      <c r="H17" s="99">
        <f t="shared" si="1"/>
        <v>12252.5</v>
      </c>
      <c r="I17" s="87">
        <f>(D17*100)/$I$1</f>
        <v>66.688110415813796</v>
      </c>
      <c r="L17" s="33"/>
      <c r="M17" s="33"/>
    </row>
    <row r="18" spans="2:42" s="32" customFormat="1" ht="20.100000000000001" customHeight="1">
      <c r="B18" s="82" t="s">
        <v>58</v>
      </c>
      <c r="D18" s="57"/>
      <c r="H18" s="57" t="s">
        <v>59</v>
      </c>
      <c r="I18" s="83">
        <f>100-I17</f>
        <v>33.311889584186204</v>
      </c>
      <c r="J18" s="36"/>
      <c r="K18" s="36"/>
      <c r="L18" s="36"/>
      <c r="M18" s="36"/>
      <c r="N18" s="36"/>
      <c r="O18" s="36"/>
    </row>
    <row r="19" spans="2:42" ht="20.100000000000001" customHeight="1">
      <c r="B19" s="32"/>
      <c r="C19" s="32"/>
      <c r="D19" s="57"/>
      <c r="E19" s="32"/>
      <c r="F19" s="32"/>
      <c r="G19" s="32"/>
      <c r="H19" s="72"/>
      <c r="I19" s="96"/>
      <c r="J19" s="32"/>
      <c r="K19" s="32"/>
      <c r="L19" s="32"/>
      <c r="M19" s="32"/>
      <c r="N19" s="32"/>
      <c r="O19" s="224"/>
      <c r="P19" s="224"/>
      <c r="Q19" s="224"/>
      <c r="R19" s="32"/>
      <c r="S19" s="32"/>
      <c r="T19" s="32"/>
      <c r="U19" s="32"/>
      <c r="V19" s="32"/>
      <c r="W19" s="32"/>
      <c r="X19" s="58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2:42" ht="20.100000000000001" customHeight="1">
      <c r="B20" s="77"/>
      <c r="C20" s="77"/>
      <c r="D20" s="76"/>
      <c r="E20" s="224"/>
      <c r="F20" s="224"/>
      <c r="G20" s="224"/>
      <c r="H20" s="224"/>
      <c r="I20" s="224"/>
      <c r="J20" s="32"/>
      <c r="K20" s="32"/>
      <c r="L20" s="32"/>
      <c r="M20" s="32"/>
      <c r="N20" s="32"/>
      <c r="O20" s="32"/>
      <c r="P20" s="58"/>
      <c r="Q20" s="32"/>
      <c r="R20" s="32"/>
      <c r="S20" s="32"/>
      <c r="T20" s="32"/>
      <c r="U20" s="32"/>
      <c r="V20" s="32"/>
      <c r="W20" s="32"/>
      <c r="X20" s="58"/>
      <c r="Y20" s="32"/>
      <c r="Z20" s="32"/>
      <c r="AA20" s="32"/>
      <c r="AB20" s="32"/>
      <c r="AC20" s="32"/>
      <c r="AD20" s="75"/>
      <c r="AE20" s="74"/>
      <c r="AF20" s="74"/>
      <c r="AG20" s="74"/>
      <c r="AH20" s="74"/>
      <c r="AI20" s="5"/>
      <c r="AJ20" s="5"/>
      <c r="AK20" s="12"/>
      <c r="AL20" s="5"/>
      <c r="AM20" s="5"/>
      <c r="AN20" s="5"/>
      <c r="AO20" s="5"/>
      <c r="AP20" s="6"/>
    </row>
    <row r="21" spans="2:42" ht="20.100000000000001" customHeight="1">
      <c r="B21" s="90" t="s">
        <v>315</v>
      </c>
      <c r="C21" s="91" t="s">
        <v>316</v>
      </c>
      <c r="D21" s="72"/>
      <c r="E21" s="32"/>
      <c r="F21" s="58"/>
      <c r="G21" s="32"/>
      <c r="H21" s="32"/>
      <c r="I21" s="32"/>
      <c r="J21" s="32"/>
      <c r="K21" s="32"/>
      <c r="L21" s="32"/>
      <c r="M21" s="79"/>
      <c r="N21" s="32"/>
      <c r="O21" s="224"/>
      <c r="P21" s="224"/>
      <c r="Q21" s="224"/>
      <c r="R21" s="32"/>
      <c r="S21" s="32"/>
      <c r="T21" s="32"/>
      <c r="U21" s="32"/>
      <c r="V21" s="32"/>
      <c r="W21" s="32"/>
      <c r="X21" s="58"/>
      <c r="Y21" s="32"/>
      <c r="Z21" s="32"/>
      <c r="AA21" s="32"/>
      <c r="AB21" s="32"/>
      <c r="AC21" s="32"/>
      <c r="AD21" s="75"/>
      <c r="AE21" s="74"/>
      <c r="AF21" s="74"/>
      <c r="AG21" s="74"/>
      <c r="AH21" s="74"/>
      <c r="AI21" s="5"/>
      <c r="AJ21" s="5"/>
      <c r="AK21" s="12"/>
      <c r="AL21" s="5"/>
      <c r="AM21" s="5"/>
      <c r="AN21" s="5"/>
      <c r="AO21" s="5"/>
      <c r="AP21" s="6"/>
    </row>
    <row r="22" spans="2:42" ht="20.100000000000001" customHeight="1">
      <c r="B22" s="32" t="s">
        <v>313</v>
      </c>
      <c r="C22" s="92">
        <v>2.1346277560091234</v>
      </c>
      <c r="D22" s="32"/>
      <c r="E22" s="32"/>
      <c r="F22" s="58"/>
      <c r="G22" s="32"/>
      <c r="H22" s="32"/>
      <c r="I22" s="32"/>
      <c r="J22" s="32"/>
      <c r="K22" s="32"/>
      <c r="L22" s="32"/>
      <c r="M22" s="32"/>
      <c r="N22" s="32"/>
      <c r="O22" s="32"/>
      <c r="P22" s="58"/>
      <c r="Q22" s="32"/>
      <c r="R22" s="32"/>
      <c r="S22" s="32"/>
      <c r="T22" s="32"/>
      <c r="U22" s="32"/>
      <c r="V22" s="32"/>
      <c r="W22" s="32"/>
      <c r="X22" s="78"/>
      <c r="Y22" s="32"/>
      <c r="Z22" s="32"/>
      <c r="AA22" s="32"/>
      <c r="AB22" s="32"/>
      <c r="AC22" s="32"/>
      <c r="AD22" s="75"/>
      <c r="AE22" s="74"/>
      <c r="AF22" s="74"/>
      <c r="AG22" s="74"/>
      <c r="AH22" s="74"/>
      <c r="AI22" s="5"/>
      <c r="AJ22" s="5"/>
      <c r="AK22" s="12"/>
      <c r="AL22" s="5"/>
      <c r="AM22" s="5"/>
      <c r="AN22" s="5"/>
      <c r="AO22" s="5"/>
      <c r="AP22" s="6"/>
    </row>
    <row r="23" spans="2:42" ht="20.100000000000001" customHeight="1">
      <c r="B23" s="32" t="s">
        <v>312</v>
      </c>
      <c r="C23" s="92">
        <v>4.8248435581028133</v>
      </c>
      <c r="D23" s="32"/>
      <c r="E23" s="224"/>
      <c r="F23" s="224"/>
      <c r="G23" s="224"/>
      <c r="H23" s="224"/>
      <c r="I23" s="224"/>
      <c r="J23" s="32"/>
      <c r="K23" s="32"/>
      <c r="L23" s="32"/>
      <c r="M23" s="32"/>
      <c r="N23" s="32"/>
      <c r="R23" s="32"/>
      <c r="S23" s="32"/>
      <c r="T23" s="32"/>
      <c r="U23" s="32"/>
      <c r="V23" s="32"/>
      <c r="W23" s="32"/>
      <c r="X23" s="58"/>
      <c r="Y23" s="32"/>
      <c r="Z23" s="32"/>
      <c r="AA23" s="32"/>
      <c r="AB23" s="32"/>
      <c r="AC23" s="32"/>
      <c r="AD23" s="75"/>
      <c r="AE23" s="74"/>
      <c r="AF23" s="74"/>
      <c r="AG23" s="74"/>
      <c r="AH23" s="74"/>
      <c r="AI23" s="5"/>
      <c r="AJ23" s="5"/>
      <c r="AK23" s="12"/>
      <c r="AL23" s="5"/>
      <c r="AM23" s="5"/>
      <c r="AN23" s="5"/>
      <c r="AO23" s="5"/>
      <c r="AP23" s="6"/>
    </row>
    <row r="24" spans="2:42" ht="20.100000000000001" customHeight="1">
      <c r="B24" s="32" t="s">
        <v>311</v>
      </c>
      <c r="C24" s="92">
        <v>5.3044037663021228</v>
      </c>
      <c r="D24" s="32"/>
      <c r="E24" s="32"/>
      <c r="F24" s="58"/>
      <c r="G24" s="32"/>
      <c r="H24" s="32"/>
      <c r="I24" s="32"/>
      <c r="J24" s="32"/>
      <c r="K24" s="32"/>
      <c r="L24" s="32"/>
      <c r="M24" s="32"/>
      <c r="N24" s="32"/>
      <c r="O24" s="224"/>
      <c r="P24" s="224"/>
      <c r="Q24" s="224"/>
      <c r="R24" s="32"/>
      <c r="S24" s="32"/>
      <c r="T24" s="32"/>
      <c r="U24" s="32"/>
      <c r="V24" s="32"/>
      <c r="W24" s="32"/>
      <c r="X24" s="58"/>
      <c r="Y24" s="32"/>
      <c r="Z24" s="32"/>
      <c r="AA24" s="32"/>
      <c r="AB24" s="32"/>
      <c r="AC24" s="32"/>
      <c r="AD24" s="75"/>
      <c r="AE24" s="74"/>
      <c r="AF24" s="74"/>
      <c r="AG24" s="74"/>
      <c r="AH24" s="74"/>
      <c r="AI24" s="5"/>
      <c r="AJ24" s="5"/>
      <c r="AK24" s="12"/>
      <c r="AL24" s="5"/>
      <c r="AM24" s="5"/>
      <c r="AN24" s="5"/>
      <c r="AO24" s="5"/>
      <c r="AP24" s="6"/>
    </row>
    <row r="25" spans="2:42" ht="20.100000000000001" customHeight="1">
      <c r="B25" s="71" t="s">
        <v>308</v>
      </c>
      <c r="C25" s="95">
        <v>5.6553014796186911</v>
      </c>
      <c r="D25" s="32"/>
      <c r="E25" s="32"/>
      <c r="F25" s="58"/>
      <c r="G25" s="32"/>
      <c r="H25" s="32"/>
      <c r="I25" s="32"/>
      <c r="J25" s="32"/>
      <c r="K25" s="32"/>
      <c r="L25" s="32"/>
      <c r="M25" s="32"/>
      <c r="N25" s="32"/>
      <c r="O25" s="10"/>
      <c r="P25" s="10"/>
      <c r="Q25" s="10"/>
      <c r="R25" s="32"/>
      <c r="S25" s="32"/>
      <c r="T25" s="32"/>
      <c r="U25" s="32"/>
      <c r="V25" s="32"/>
      <c r="W25" s="32"/>
      <c r="X25" s="58"/>
      <c r="Y25" s="32"/>
      <c r="Z25" s="32"/>
      <c r="AA25" s="32"/>
      <c r="AB25" s="32"/>
      <c r="AC25" s="32"/>
      <c r="AD25" s="75"/>
      <c r="AE25" s="74"/>
      <c r="AF25" s="74"/>
      <c r="AG25" s="74"/>
      <c r="AH25" s="74"/>
      <c r="AI25" s="5"/>
      <c r="AJ25" s="5"/>
      <c r="AK25" s="12"/>
      <c r="AL25" s="5"/>
      <c r="AM25" s="5"/>
      <c r="AN25" s="5"/>
      <c r="AO25" s="5"/>
      <c r="AP25" s="6"/>
    </row>
    <row r="26" spans="2:42" ht="20.100000000000001" customHeight="1">
      <c r="B26" s="77" t="s">
        <v>309</v>
      </c>
      <c r="C26" s="94">
        <v>6.6787531434586818</v>
      </c>
      <c r="D26" s="32"/>
      <c r="E26" s="32"/>
      <c r="F26" s="58"/>
      <c r="G26" s="32"/>
      <c r="H26" s="58"/>
      <c r="I26" s="32"/>
      <c r="J26" s="32"/>
      <c r="K26" s="32"/>
      <c r="L26" s="32"/>
      <c r="M26" s="32"/>
      <c r="N26" s="32"/>
      <c r="O26" s="10"/>
      <c r="P26" s="10"/>
      <c r="Q26" s="10"/>
      <c r="R26" s="32"/>
      <c r="S26" s="32"/>
      <c r="T26" s="32"/>
      <c r="U26" s="32"/>
      <c r="V26" s="32"/>
      <c r="W26" s="32"/>
      <c r="X26" s="58"/>
      <c r="Y26" s="32"/>
      <c r="Z26" s="32"/>
      <c r="AA26" s="32"/>
      <c r="AB26" s="32"/>
      <c r="AC26" s="32"/>
      <c r="AD26" s="75"/>
      <c r="AE26" s="74"/>
      <c r="AF26" s="74"/>
      <c r="AG26" s="74"/>
      <c r="AH26" s="74"/>
      <c r="AI26" s="5"/>
      <c r="AJ26" s="5"/>
      <c r="AK26" s="12"/>
      <c r="AL26" s="5"/>
      <c r="AM26" s="5"/>
      <c r="AN26" s="5"/>
      <c r="AO26" s="5"/>
      <c r="AP26" s="6"/>
    </row>
    <row r="27" spans="2:42" ht="20.100000000000001" customHeight="1">
      <c r="B27" s="32" t="s">
        <v>310</v>
      </c>
      <c r="C27" s="92">
        <v>6.9594713141119362</v>
      </c>
      <c r="D27" s="32"/>
      <c r="E27" s="105"/>
      <c r="F27" s="105"/>
      <c r="G27" s="105"/>
      <c r="H27" s="105"/>
      <c r="I27" s="105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58"/>
      <c r="Y27" s="32"/>
      <c r="Z27" s="32"/>
      <c r="AA27" s="32"/>
      <c r="AB27" s="32"/>
      <c r="AC27" s="32"/>
      <c r="AD27" s="75"/>
      <c r="AE27" s="74"/>
      <c r="AF27" s="74"/>
      <c r="AG27" s="74"/>
      <c r="AH27" s="74"/>
      <c r="AI27" s="5"/>
      <c r="AJ27" s="5"/>
      <c r="AK27" s="12"/>
      <c r="AL27" s="5"/>
      <c r="AM27" s="5"/>
      <c r="AN27" s="5"/>
      <c r="AO27" s="5"/>
      <c r="AP27" s="6"/>
    </row>
    <row r="28" spans="2:42" ht="20.100000000000001" customHeight="1">
      <c r="B28" s="77" t="s">
        <v>307</v>
      </c>
      <c r="C28" s="94">
        <v>6.9711679045558217</v>
      </c>
      <c r="D28" s="32"/>
      <c r="E28" s="32"/>
      <c r="F28" s="58"/>
      <c r="G28" s="32"/>
      <c r="H28" s="58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58"/>
      <c r="Y28" s="32"/>
      <c r="Z28" s="32"/>
      <c r="AA28" s="32"/>
      <c r="AB28" s="32"/>
      <c r="AC28" s="32"/>
      <c r="AD28" s="75"/>
      <c r="AE28" s="74"/>
      <c r="AF28" s="74"/>
      <c r="AG28" s="74"/>
      <c r="AH28" s="74"/>
      <c r="AI28" s="5"/>
      <c r="AJ28" s="5"/>
      <c r="AK28" s="12"/>
      <c r="AL28" s="5"/>
      <c r="AM28" s="5"/>
      <c r="AN28" s="5"/>
      <c r="AO28" s="5"/>
      <c r="AP28" s="6"/>
    </row>
    <row r="29" spans="2:42" ht="20.100000000000001" customHeight="1">
      <c r="B29" s="32" t="s">
        <v>47</v>
      </c>
      <c r="C29" s="93">
        <v>7.0238025615533068</v>
      </c>
      <c r="D29" s="32"/>
      <c r="E29" s="32"/>
      <c r="F29" s="58"/>
      <c r="G29" s="32"/>
      <c r="H29" s="58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75"/>
      <c r="AE29" s="74"/>
      <c r="AF29" s="74"/>
      <c r="AG29" s="74"/>
      <c r="AH29" s="74"/>
      <c r="AI29" s="5"/>
      <c r="AJ29" s="5"/>
      <c r="AK29" s="12"/>
      <c r="AL29" s="5"/>
      <c r="AM29" s="5"/>
      <c r="AN29" s="5"/>
      <c r="AO29" s="5"/>
      <c r="AP29" s="6"/>
    </row>
    <row r="30" spans="2:42" ht="20.100000000000001" customHeight="1">
      <c r="B30" s="77" t="s">
        <v>306</v>
      </c>
      <c r="C30" s="94">
        <v>9.3631206503304281</v>
      </c>
      <c r="D30" s="32"/>
      <c r="E30" s="32"/>
      <c r="F30" s="58"/>
      <c r="G30" s="32"/>
      <c r="H30" s="58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75"/>
      <c r="T30" s="74"/>
      <c r="U30" s="73"/>
      <c r="V30" s="73"/>
      <c r="W30" s="73"/>
      <c r="X30" s="25"/>
      <c r="Y30" s="32"/>
      <c r="Z30" s="32"/>
      <c r="AA30" s="32"/>
      <c r="AB30" s="32"/>
      <c r="AC30" s="32"/>
      <c r="AD30" s="75"/>
      <c r="AE30" s="74"/>
      <c r="AF30" s="74"/>
      <c r="AG30" s="74"/>
      <c r="AH30" s="74"/>
      <c r="AI30" s="5"/>
      <c r="AJ30" s="5"/>
      <c r="AK30" s="12"/>
      <c r="AL30" s="5"/>
      <c r="AM30" s="5"/>
      <c r="AN30" s="5"/>
      <c r="AO30" s="5"/>
      <c r="AP30" s="6"/>
    </row>
    <row r="31" spans="2:42" ht="20.100000000000001" customHeight="1">
      <c r="B31" s="77" t="s">
        <v>305</v>
      </c>
      <c r="C31" s="94">
        <v>11.772618281770864</v>
      </c>
      <c r="D31" s="32"/>
      <c r="E31" s="32"/>
      <c r="F31" s="58"/>
      <c r="G31" s="32"/>
      <c r="H31" s="58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75"/>
      <c r="T31" s="74"/>
      <c r="U31" s="73"/>
      <c r="V31" s="73"/>
      <c r="W31" s="73"/>
      <c r="X31" s="25"/>
      <c r="Y31" s="32"/>
      <c r="Z31" s="32"/>
      <c r="AA31" s="32"/>
      <c r="AB31" s="32"/>
      <c r="AC31" s="32"/>
      <c r="AD31" s="75"/>
      <c r="AE31" s="74"/>
      <c r="AF31" s="74"/>
      <c r="AG31" s="74"/>
      <c r="AH31" s="74"/>
      <c r="AI31" s="5"/>
      <c r="AJ31" s="5"/>
      <c r="AK31" s="12"/>
      <c r="AL31" s="5"/>
      <c r="AM31" s="5"/>
      <c r="AN31" s="5"/>
      <c r="AO31" s="5"/>
      <c r="AP31" s="6"/>
    </row>
    <row r="32" spans="2:42" ht="20.100000000000001" customHeight="1">
      <c r="B32" s="48"/>
      <c r="C32" s="48"/>
      <c r="D32" s="48"/>
      <c r="E32" s="32"/>
      <c r="F32" s="58"/>
      <c r="G32" s="32"/>
      <c r="H32" s="58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75"/>
      <c r="T32" s="74"/>
      <c r="U32" s="73"/>
      <c r="V32" s="73"/>
      <c r="W32" s="73"/>
      <c r="X32" s="25"/>
      <c r="Y32" s="32"/>
      <c r="Z32" s="32"/>
      <c r="AA32" s="32"/>
      <c r="AB32" s="32"/>
      <c r="AC32" s="32"/>
      <c r="AD32" s="75"/>
      <c r="AE32" s="74"/>
      <c r="AF32" s="74"/>
      <c r="AG32" s="74"/>
      <c r="AH32" s="74"/>
      <c r="AI32" s="5"/>
      <c r="AJ32" s="5"/>
      <c r="AK32" s="12"/>
      <c r="AL32" s="5"/>
      <c r="AM32" s="5"/>
      <c r="AN32" s="5"/>
      <c r="AO32" s="5"/>
      <c r="AP32" s="6"/>
    </row>
    <row r="33" spans="2:42" ht="20.100000000000001" customHeight="1">
      <c r="B33" s="36"/>
      <c r="C33" s="36"/>
      <c r="D33" s="38"/>
      <c r="E33" s="36"/>
      <c r="F33" s="37"/>
      <c r="G33" s="36"/>
      <c r="H33" s="37"/>
      <c r="I33" s="36"/>
      <c r="J33" s="32"/>
      <c r="K33" s="32"/>
      <c r="L33" s="32"/>
      <c r="M33" s="32"/>
      <c r="N33" s="32"/>
      <c r="O33" s="32"/>
      <c r="P33" s="32"/>
      <c r="Q33" s="32"/>
      <c r="R33" s="32"/>
      <c r="S33" s="75"/>
      <c r="T33" s="74"/>
      <c r="U33" s="73"/>
      <c r="V33" s="73"/>
      <c r="W33" s="73"/>
      <c r="X33" s="25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P33" s="33"/>
    </row>
    <row r="34" spans="2:42" ht="20.100000000000001" customHeight="1">
      <c r="B34" s="36"/>
      <c r="C34" s="36"/>
      <c r="D34" s="38"/>
      <c r="E34" s="36"/>
      <c r="F34" s="37"/>
      <c r="G34" s="36"/>
      <c r="H34" s="37"/>
      <c r="I34" s="36"/>
      <c r="J34" s="32"/>
      <c r="K34" s="32"/>
      <c r="L34" s="32"/>
      <c r="M34" s="32"/>
      <c r="N34" s="32"/>
      <c r="O34" s="32"/>
      <c r="P34" s="32"/>
      <c r="Q34" s="32"/>
      <c r="R34" s="32"/>
      <c r="S34" s="75"/>
      <c r="T34" s="74"/>
      <c r="U34" s="73"/>
      <c r="V34" s="73"/>
      <c r="W34" s="73"/>
      <c r="X34" s="25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42" ht="20.100000000000001" customHeight="1">
      <c r="B35" s="32"/>
      <c r="C35" s="32"/>
      <c r="D35" s="57"/>
      <c r="E35" s="32"/>
      <c r="F35" s="58"/>
      <c r="G35" s="32"/>
      <c r="H35" s="58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75"/>
      <c r="T35" s="74"/>
      <c r="U35" s="73"/>
      <c r="V35" s="73"/>
      <c r="W35" s="73"/>
      <c r="X35" s="25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42" ht="20.100000000000001" customHeight="1">
      <c r="B36" s="41"/>
      <c r="C36" s="32"/>
      <c r="D36" s="57"/>
      <c r="E36" s="32"/>
      <c r="F36" s="58"/>
      <c r="G36" s="32"/>
      <c r="H36" s="58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75"/>
      <c r="T36" s="74"/>
      <c r="U36" s="73"/>
      <c r="V36" s="73"/>
      <c r="W36" s="73"/>
      <c r="X36" s="25"/>
      <c r="Y36" s="32"/>
      <c r="Z36" s="32"/>
      <c r="AA36" s="32"/>
      <c r="AB36" s="32"/>
      <c r="AC36" s="32"/>
      <c r="AD36" s="32"/>
      <c r="AE36" s="32"/>
      <c r="AF36" s="32"/>
      <c r="AG36" s="32"/>
      <c r="AH36" s="32"/>
    </row>
    <row r="37" spans="2:42" ht="20.100000000000001" customHeight="1">
      <c r="B37" s="41"/>
      <c r="C37" s="32"/>
      <c r="D37" s="57"/>
      <c r="E37" s="32"/>
      <c r="F37" s="58"/>
      <c r="G37" s="32"/>
      <c r="H37" s="58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75"/>
      <c r="T37" s="74"/>
      <c r="U37" s="73"/>
      <c r="V37" s="73"/>
      <c r="W37" s="73"/>
      <c r="X37" s="25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42" ht="59.25" customHeight="1">
      <c r="B38" s="107" t="s">
        <v>317</v>
      </c>
      <c r="C38" s="32"/>
      <c r="D38" s="57"/>
      <c r="E38" s="32"/>
      <c r="F38" s="58"/>
      <c r="G38" s="32"/>
      <c r="H38" s="58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75"/>
      <c r="T38" s="74"/>
      <c r="U38" s="73"/>
      <c r="V38" s="73"/>
      <c r="W38" s="73"/>
      <c r="X38" s="25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spans="2:42" ht="20.100000000000001" customHeight="1">
      <c r="B39" s="108" t="s">
        <v>63</v>
      </c>
      <c r="C39" s="32"/>
      <c r="D39" s="57"/>
      <c r="E39" s="32"/>
      <c r="F39" s="58"/>
      <c r="G39" s="32"/>
      <c r="H39" s="58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75"/>
      <c r="T39" s="74"/>
      <c r="U39" s="73"/>
      <c r="V39" s="73"/>
      <c r="W39" s="73"/>
      <c r="X39" s="25"/>
      <c r="Y39" s="32"/>
      <c r="Z39" s="32"/>
      <c r="AA39" s="32"/>
      <c r="AB39" s="32"/>
      <c r="AC39" s="32"/>
      <c r="AD39" s="32"/>
      <c r="AE39" s="32"/>
      <c r="AF39" s="32"/>
      <c r="AG39" s="32"/>
      <c r="AH39" s="32"/>
    </row>
    <row r="40" spans="2:42" ht="20.100000000000001" customHeight="1">
      <c r="B40" s="41"/>
      <c r="C40" s="32"/>
      <c r="D40" s="57"/>
      <c r="E40" s="32"/>
      <c r="F40" s="58"/>
      <c r="G40" s="32"/>
      <c r="H40" s="58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</row>
    <row r="41" spans="2:42" ht="20.100000000000001" customHeight="1">
      <c r="B41" s="41"/>
      <c r="C41" s="32"/>
      <c r="D41" s="57"/>
      <c r="E41" s="32"/>
      <c r="F41" s="58"/>
      <c r="G41" s="32"/>
      <c r="H41" s="58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spans="2:42" ht="20.100000000000001" customHeight="1">
      <c r="B42" s="32"/>
      <c r="C42" s="32"/>
      <c r="D42" s="57"/>
      <c r="E42" s="32"/>
      <c r="F42" s="58"/>
      <c r="G42" s="32"/>
      <c r="H42" s="58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spans="2:42" ht="20.100000000000001" customHeight="1">
      <c r="B43" s="32"/>
      <c r="C43" s="32"/>
      <c r="D43" s="57"/>
      <c r="E43" s="32"/>
      <c r="F43" s="58"/>
      <c r="G43" s="32"/>
      <c r="H43" s="5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spans="2:42" ht="20.100000000000001" customHeight="1">
      <c r="B44" s="32"/>
      <c r="C44" s="32"/>
      <c r="D44" s="57"/>
      <c r="E44" s="32"/>
      <c r="F44" s="58"/>
      <c r="G44" s="32"/>
      <c r="H44" s="58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2:42" ht="20.100000000000001" customHeight="1">
      <c r="B45" s="32"/>
      <c r="C45" s="32"/>
      <c r="D45" s="57"/>
      <c r="E45" s="32"/>
      <c r="F45" s="58"/>
      <c r="G45" s="32"/>
      <c r="H45" s="58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</row>
    <row r="46" spans="2:42" ht="20.100000000000001" customHeight="1">
      <c r="B46" s="71"/>
      <c r="C46" s="71"/>
      <c r="D46" s="72"/>
      <c r="E46" s="71"/>
      <c r="F46" s="58"/>
      <c r="G46" s="32"/>
      <c r="H46" s="58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2:42" ht="20.100000000000001" customHeight="1">
      <c r="B47" s="32"/>
      <c r="C47" s="32"/>
      <c r="D47" s="57"/>
      <c r="E47" s="32"/>
      <c r="F47" s="58"/>
      <c r="G47" s="32"/>
      <c r="H47" s="58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</row>
    <row r="48" spans="2:42" ht="20.100000000000001" customHeight="1">
      <c r="B48" s="34"/>
      <c r="C48" s="34"/>
      <c r="D48" s="35"/>
      <c r="E48" s="34"/>
    </row>
  </sheetData>
  <sortState xmlns:xlrd2="http://schemas.microsoft.com/office/spreadsheetml/2017/richdata2" ref="B22:C31">
    <sortCondition ref="C22:C31"/>
  </sortState>
  <mergeCells count="5">
    <mergeCell ref="O19:Q19"/>
    <mergeCell ref="O21:Q21"/>
    <mergeCell ref="O24:Q24"/>
    <mergeCell ref="E20:I20"/>
    <mergeCell ref="E23:I23"/>
  </mergeCells>
  <hyperlinks>
    <hyperlink ref="B39" r:id="rId1" xr:uid="{00000000-0004-0000-0400-000000000000}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81"/>
  <sheetViews>
    <sheetView showGridLines="0" zoomScale="90" zoomScaleNormal="90" workbookViewId="0">
      <selection activeCell="K4" sqref="K4"/>
    </sheetView>
  </sheetViews>
  <sheetFormatPr defaultColWidth="5.5703125" defaultRowHeight="14.25"/>
  <cols>
    <col min="1" max="1" width="68.85546875" style="67" customWidth="1"/>
    <col min="2" max="5" width="14.7109375" style="5" customWidth="1"/>
    <col min="6" max="6" width="8.28515625" style="5" customWidth="1"/>
    <col min="7" max="7" width="9.42578125" style="12" customWidth="1"/>
    <col min="8" max="8" width="10.42578125" style="5" customWidth="1"/>
    <col min="9" max="9" width="7.85546875" style="5" customWidth="1"/>
    <col min="10" max="10" width="7.140625" style="5" bestFit="1" customWidth="1"/>
    <col min="11" max="11" width="13.28515625" style="5" customWidth="1"/>
    <col min="12" max="230" width="9.140625" style="2" customWidth="1"/>
    <col min="231" max="231" width="58.28515625" style="2" customWidth="1"/>
    <col min="232" max="232" width="3.7109375" style="2" bestFit="1" customWidth="1"/>
    <col min="233" max="233" width="5.5703125" style="2" bestFit="1" customWidth="1"/>
    <col min="234" max="234" width="5.5703125" style="2" customWidth="1"/>
    <col min="235" max="16384" width="5.5703125" style="2"/>
  </cols>
  <sheetData>
    <row r="1" spans="1:21" customFormat="1" ht="15">
      <c r="A1" s="1" t="s">
        <v>0</v>
      </c>
      <c r="B1" s="70"/>
      <c r="C1" s="70"/>
      <c r="D1" s="70"/>
      <c r="E1" s="70"/>
      <c r="F1" s="70"/>
      <c r="G1" s="60"/>
      <c r="H1" s="70"/>
      <c r="I1" s="70"/>
      <c r="J1" s="70"/>
      <c r="K1" s="70"/>
    </row>
    <row r="2" spans="1:21" customFormat="1" ht="15">
      <c r="A2" s="3" t="s">
        <v>1</v>
      </c>
      <c r="B2" s="22"/>
      <c r="C2" s="22"/>
      <c r="D2" s="22"/>
      <c r="E2" s="22"/>
      <c r="F2" s="22"/>
      <c r="G2" s="13"/>
      <c r="H2" s="22"/>
      <c r="I2" s="22"/>
      <c r="J2" s="22"/>
      <c r="K2" s="22"/>
    </row>
    <row r="3" spans="1:21" customFormat="1" ht="15">
      <c r="A3" s="67"/>
      <c r="B3" s="5"/>
      <c r="C3" s="5"/>
      <c r="D3" s="5"/>
      <c r="E3" s="5"/>
      <c r="F3" s="5"/>
      <c r="G3" s="12"/>
      <c r="H3" s="5"/>
      <c r="I3" s="5"/>
      <c r="J3" s="5"/>
      <c r="K3" s="5"/>
    </row>
    <row r="4" spans="1:21" customFormat="1" ht="35.25" customHeight="1">
      <c r="A4" s="89" t="s">
        <v>303</v>
      </c>
      <c r="B4" s="14" t="s">
        <v>27</v>
      </c>
      <c r="C4" s="14" t="s">
        <v>28</v>
      </c>
      <c r="D4" s="14" t="s">
        <v>29</v>
      </c>
      <c r="E4" s="14" t="s">
        <v>30</v>
      </c>
      <c r="F4" s="88" t="s">
        <v>8</v>
      </c>
      <c r="G4" s="88" t="s">
        <v>9</v>
      </c>
      <c r="H4" s="22" t="s">
        <v>64</v>
      </c>
      <c r="K4" s="199"/>
      <c r="L4" s="14"/>
      <c r="M4" s="14"/>
      <c r="N4" s="14"/>
      <c r="O4" s="14"/>
      <c r="P4" s="2"/>
      <c r="Q4" s="2"/>
      <c r="R4" s="88"/>
      <c r="S4" s="88"/>
      <c r="T4" s="88"/>
      <c r="U4" s="14"/>
    </row>
    <row r="5" spans="1:21" customFormat="1" ht="15">
      <c r="A5" s="170" t="s">
        <v>313</v>
      </c>
      <c r="B5" s="196">
        <v>486</v>
      </c>
      <c r="C5" s="196">
        <v>365</v>
      </c>
      <c r="D5" s="196"/>
      <c r="E5" s="196"/>
      <c r="F5" s="198">
        <f t="shared" ref="F5:F36" si="0">SUM(B5:E5)</f>
        <v>851</v>
      </c>
      <c r="G5" s="198">
        <f t="shared" ref="G5:G36" si="1">AVERAGE(B5:E5)</f>
        <v>425.5</v>
      </c>
      <c r="H5" s="204">
        <f t="shared" ref="H5:H36" si="2">(F5/$F$71)*100</f>
        <v>2.3457742984729038</v>
      </c>
      <c r="K5" s="200"/>
      <c r="L5" s="201"/>
      <c r="M5" s="80"/>
      <c r="N5" s="80"/>
      <c r="O5" s="12"/>
      <c r="P5" s="2"/>
      <c r="Q5" s="2"/>
      <c r="R5" s="80"/>
      <c r="S5" s="80"/>
      <c r="T5" s="80"/>
      <c r="U5" s="31"/>
    </row>
    <row r="6" spans="1:21" customFormat="1" ht="15">
      <c r="A6" s="170" t="s">
        <v>318</v>
      </c>
      <c r="B6" s="196">
        <v>0</v>
      </c>
      <c r="C6" s="196">
        <v>0</v>
      </c>
      <c r="D6" s="196"/>
      <c r="E6" s="196"/>
      <c r="F6" s="198">
        <f t="shared" si="0"/>
        <v>0</v>
      </c>
      <c r="G6" s="198">
        <f t="shared" si="1"/>
        <v>0</v>
      </c>
      <c r="H6" s="204">
        <f t="shared" si="2"/>
        <v>0</v>
      </c>
      <c r="K6" s="200"/>
      <c r="L6" s="201"/>
      <c r="M6" s="80"/>
      <c r="N6" s="80"/>
      <c r="O6" s="12"/>
      <c r="P6" s="2"/>
      <c r="Q6" s="2"/>
      <c r="R6" s="80"/>
      <c r="S6" s="80"/>
      <c r="T6" s="80"/>
      <c r="U6" s="31"/>
    </row>
    <row r="7" spans="1:21" customFormat="1" ht="15">
      <c r="A7" s="170" t="s">
        <v>310</v>
      </c>
      <c r="B7" s="196">
        <v>1142</v>
      </c>
      <c r="C7" s="196">
        <v>1190</v>
      </c>
      <c r="D7" s="196"/>
      <c r="E7" s="196"/>
      <c r="F7" s="198">
        <f t="shared" si="0"/>
        <v>2332</v>
      </c>
      <c r="G7" s="198">
        <f t="shared" si="1"/>
        <v>1166</v>
      </c>
      <c r="H7" s="204">
        <f t="shared" si="2"/>
        <v>6.4281382656155239</v>
      </c>
      <c r="K7" s="200"/>
      <c r="L7" s="201"/>
      <c r="M7" s="80"/>
      <c r="N7" s="80"/>
      <c r="O7" s="12"/>
      <c r="P7" s="2"/>
      <c r="Q7" s="2"/>
      <c r="R7" s="80"/>
      <c r="S7" s="80"/>
      <c r="T7" s="80"/>
      <c r="U7" s="31"/>
    </row>
    <row r="8" spans="1:21" customFormat="1" ht="15">
      <c r="A8" s="170" t="s">
        <v>319</v>
      </c>
      <c r="B8" s="196">
        <v>45</v>
      </c>
      <c r="C8" s="196">
        <v>56</v>
      </c>
      <c r="D8" s="196"/>
      <c r="E8" s="196"/>
      <c r="F8" s="198">
        <f t="shared" si="0"/>
        <v>101</v>
      </c>
      <c r="G8" s="198">
        <f t="shared" si="1"/>
        <v>50.5</v>
      </c>
      <c r="H8" s="204">
        <f t="shared" si="2"/>
        <v>0.27840564529466894</v>
      </c>
      <c r="K8" s="200"/>
      <c r="L8" s="201"/>
      <c r="M8" s="80"/>
      <c r="N8" s="80"/>
      <c r="O8" s="12"/>
      <c r="P8" s="2"/>
      <c r="Q8" s="2"/>
      <c r="R8" s="80"/>
      <c r="S8" s="80"/>
      <c r="T8" s="80"/>
      <c r="U8" s="31"/>
    </row>
    <row r="9" spans="1:21" customFormat="1" ht="15">
      <c r="A9" s="170" t="s">
        <v>320</v>
      </c>
      <c r="B9" s="196">
        <v>172</v>
      </c>
      <c r="C9" s="196">
        <v>200</v>
      </c>
      <c r="D9" s="196"/>
      <c r="E9" s="196"/>
      <c r="F9" s="198">
        <f t="shared" si="0"/>
        <v>372</v>
      </c>
      <c r="G9" s="198">
        <f t="shared" si="1"/>
        <v>186</v>
      </c>
      <c r="H9" s="204">
        <f t="shared" si="2"/>
        <v>1.0254148519764044</v>
      </c>
      <c r="K9" s="200"/>
      <c r="L9" s="201"/>
      <c r="M9" s="80"/>
      <c r="N9" s="80"/>
      <c r="O9" s="12"/>
      <c r="P9" s="2"/>
      <c r="Q9" s="2"/>
      <c r="R9" s="80"/>
      <c r="S9" s="80"/>
      <c r="T9" s="80"/>
      <c r="U9" s="31"/>
    </row>
    <row r="10" spans="1:21" customFormat="1" ht="15">
      <c r="A10" s="170" t="s">
        <v>229</v>
      </c>
      <c r="B10" s="196">
        <v>17</v>
      </c>
      <c r="C10" s="196">
        <v>5</v>
      </c>
      <c r="D10" s="196"/>
      <c r="E10" s="196"/>
      <c r="F10" s="198">
        <f t="shared" si="0"/>
        <v>22</v>
      </c>
      <c r="G10" s="198">
        <f t="shared" si="1"/>
        <v>11</v>
      </c>
      <c r="H10" s="204">
        <f t="shared" si="2"/>
        <v>6.0642813826561552E-2</v>
      </c>
      <c r="K10" s="200"/>
      <c r="L10" s="201"/>
      <c r="M10" s="80"/>
      <c r="N10" s="80"/>
      <c r="O10" s="12"/>
      <c r="P10" s="2"/>
      <c r="Q10" s="2"/>
      <c r="R10" s="80"/>
      <c r="S10" s="80"/>
      <c r="T10" s="80"/>
      <c r="U10" s="31"/>
    </row>
    <row r="11" spans="1:21" customFormat="1" ht="15">
      <c r="A11" s="170" t="s">
        <v>47</v>
      </c>
      <c r="B11" s="196">
        <v>1103</v>
      </c>
      <c r="C11" s="196">
        <v>1201</v>
      </c>
      <c r="D11" s="196"/>
      <c r="E11" s="196"/>
      <c r="F11" s="198">
        <f t="shared" si="0"/>
        <v>2304</v>
      </c>
      <c r="G11" s="198">
        <f t="shared" si="1"/>
        <v>1152</v>
      </c>
      <c r="H11" s="204">
        <f t="shared" si="2"/>
        <v>6.3509565025635375</v>
      </c>
      <c r="K11" s="200"/>
      <c r="L11" s="201"/>
      <c r="M11" s="80"/>
      <c r="N11" s="80"/>
      <c r="O11" s="12"/>
      <c r="P11" s="2"/>
      <c r="Q11" s="2"/>
      <c r="R11" s="80"/>
      <c r="S11" s="80"/>
      <c r="T11" s="80"/>
      <c r="U11" s="31"/>
    </row>
    <row r="12" spans="1:21" customFormat="1" ht="15">
      <c r="A12" s="170" t="s">
        <v>321</v>
      </c>
      <c r="B12" s="196">
        <v>185</v>
      </c>
      <c r="C12" s="196">
        <v>199</v>
      </c>
      <c r="D12" s="196"/>
      <c r="E12" s="196"/>
      <c r="F12" s="198">
        <f t="shared" si="0"/>
        <v>384</v>
      </c>
      <c r="G12" s="198">
        <f t="shared" si="1"/>
        <v>192</v>
      </c>
      <c r="H12" s="204">
        <f t="shared" si="2"/>
        <v>1.0584927504272561</v>
      </c>
      <c r="K12" s="200"/>
      <c r="L12" s="80"/>
      <c r="M12" s="80"/>
      <c r="N12" s="80"/>
      <c r="O12" s="12"/>
      <c r="P12" s="2"/>
      <c r="Q12" s="2"/>
      <c r="R12" s="80"/>
      <c r="S12" s="80"/>
      <c r="T12" s="80"/>
      <c r="U12" s="31"/>
    </row>
    <row r="13" spans="1:21" customFormat="1" ht="15">
      <c r="A13" s="170" t="s">
        <v>322</v>
      </c>
      <c r="B13" s="196">
        <v>0</v>
      </c>
      <c r="C13" s="196">
        <v>0</v>
      </c>
      <c r="D13" s="196"/>
      <c r="E13" s="196"/>
      <c r="F13" s="198">
        <f t="shared" si="0"/>
        <v>0</v>
      </c>
      <c r="G13" s="198">
        <f t="shared" si="1"/>
        <v>0</v>
      </c>
      <c r="H13" s="204">
        <f t="shared" si="2"/>
        <v>0</v>
      </c>
      <c r="K13" s="200"/>
      <c r="L13" s="80"/>
      <c r="M13" s="80"/>
      <c r="N13" s="80"/>
      <c r="O13" s="12"/>
      <c r="P13" s="2"/>
      <c r="Q13" s="2"/>
      <c r="R13" s="80"/>
      <c r="S13" s="80"/>
      <c r="T13" s="80"/>
      <c r="U13" s="31"/>
    </row>
    <row r="14" spans="1:21" customFormat="1" ht="15">
      <c r="A14" s="170" t="s">
        <v>309</v>
      </c>
      <c r="B14" s="196">
        <v>1216</v>
      </c>
      <c r="C14" s="196">
        <v>1142</v>
      </c>
      <c r="D14" s="196"/>
      <c r="E14" s="196"/>
      <c r="F14" s="198">
        <f t="shared" si="0"/>
        <v>2358</v>
      </c>
      <c r="G14" s="198">
        <f t="shared" si="1"/>
        <v>1179</v>
      </c>
      <c r="H14" s="204">
        <f t="shared" si="2"/>
        <v>6.4998070455923704</v>
      </c>
      <c r="K14" s="200"/>
      <c r="L14" s="80"/>
      <c r="M14" s="80"/>
      <c r="N14" s="80"/>
      <c r="O14" s="12"/>
      <c r="P14" s="2"/>
      <c r="Q14" s="2"/>
      <c r="R14" s="80"/>
      <c r="S14" s="80"/>
      <c r="T14" s="80"/>
      <c r="U14" s="31"/>
    </row>
    <row r="15" spans="1:21" customFormat="1" ht="15">
      <c r="A15" s="170" t="s">
        <v>323</v>
      </c>
      <c r="B15" s="196">
        <v>0</v>
      </c>
      <c r="C15" s="196">
        <v>0</v>
      </c>
      <c r="D15" s="196"/>
      <c r="E15" s="196"/>
      <c r="F15" s="198">
        <f t="shared" si="0"/>
        <v>0</v>
      </c>
      <c r="G15" s="198">
        <f t="shared" si="1"/>
        <v>0</v>
      </c>
      <c r="H15" s="204">
        <f t="shared" si="2"/>
        <v>0</v>
      </c>
      <c r="K15" s="200"/>
      <c r="L15" s="201"/>
      <c r="M15" s="80"/>
      <c r="N15" s="80"/>
      <c r="O15" s="12"/>
      <c r="P15" s="2"/>
      <c r="Q15" s="2"/>
      <c r="R15" s="80"/>
      <c r="S15" s="80"/>
      <c r="T15" s="80"/>
      <c r="U15" s="31"/>
    </row>
    <row r="16" spans="1:21" customFormat="1" ht="15">
      <c r="A16" s="170" t="s">
        <v>324</v>
      </c>
      <c r="B16" s="196">
        <v>0</v>
      </c>
      <c r="C16" s="196">
        <v>0</v>
      </c>
      <c r="D16" s="196"/>
      <c r="E16" s="196"/>
      <c r="F16" s="198">
        <f t="shared" si="0"/>
        <v>0</v>
      </c>
      <c r="G16" s="198">
        <f t="shared" si="1"/>
        <v>0</v>
      </c>
      <c r="H16" s="204">
        <f t="shared" si="2"/>
        <v>0</v>
      </c>
      <c r="K16" s="200"/>
      <c r="L16" s="80"/>
      <c r="M16" s="80"/>
      <c r="N16" s="80"/>
      <c r="O16" s="12"/>
      <c r="P16" s="2"/>
      <c r="Q16" s="2"/>
      <c r="R16" s="80"/>
      <c r="S16" s="80"/>
      <c r="T16" s="80"/>
      <c r="U16" s="31"/>
    </row>
    <row r="17" spans="1:21" customFormat="1" ht="15" customHeight="1">
      <c r="A17" s="170" t="s">
        <v>325</v>
      </c>
      <c r="B17" s="196">
        <v>56</v>
      </c>
      <c r="C17" s="196">
        <v>39</v>
      </c>
      <c r="D17" s="196"/>
      <c r="E17" s="196"/>
      <c r="F17" s="198">
        <f t="shared" si="0"/>
        <v>95</v>
      </c>
      <c r="G17" s="198">
        <f t="shared" si="1"/>
        <v>47.5</v>
      </c>
      <c r="H17" s="204">
        <f t="shared" si="2"/>
        <v>0.26186669606924307</v>
      </c>
      <c r="K17" s="200"/>
      <c r="L17" s="80"/>
      <c r="M17" s="80"/>
      <c r="N17" s="80"/>
      <c r="O17" s="12"/>
      <c r="P17" s="2"/>
      <c r="Q17" s="2"/>
      <c r="R17" s="80"/>
      <c r="S17" s="80"/>
      <c r="T17" s="80"/>
      <c r="U17" s="31"/>
    </row>
    <row r="18" spans="1:21" customFormat="1" ht="15">
      <c r="A18" s="170" t="s">
        <v>307</v>
      </c>
      <c r="B18" s="196">
        <v>1810</v>
      </c>
      <c r="C18" s="196">
        <v>1192</v>
      </c>
      <c r="D18" s="196"/>
      <c r="E18" s="196"/>
      <c r="F18" s="198">
        <f t="shared" si="0"/>
        <v>3002</v>
      </c>
      <c r="G18" s="198">
        <f t="shared" si="1"/>
        <v>1501</v>
      </c>
      <c r="H18" s="204">
        <f t="shared" si="2"/>
        <v>8.2749875957880796</v>
      </c>
      <c r="K18" s="200"/>
      <c r="L18" s="80"/>
      <c r="M18" s="80"/>
      <c r="N18" s="80"/>
      <c r="O18" s="12"/>
      <c r="P18" s="2"/>
      <c r="Q18" s="2"/>
      <c r="R18" s="80"/>
      <c r="S18" s="80"/>
      <c r="T18" s="80"/>
      <c r="U18" s="31"/>
    </row>
    <row r="19" spans="1:21" customFormat="1" ht="15">
      <c r="A19" s="170" t="s">
        <v>311</v>
      </c>
      <c r="B19" s="196">
        <v>1020</v>
      </c>
      <c r="C19" s="196">
        <v>907</v>
      </c>
      <c r="D19" s="196"/>
      <c r="E19" s="196"/>
      <c r="F19" s="198">
        <f t="shared" si="0"/>
        <v>1927</v>
      </c>
      <c r="G19" s="198">
        <f t="shared" si="1"/>
        <v>963.5</v>
      </c>
      <c r="H19" s="204">
        <f t="shared" si="2"/>
        <v>5.3117591928992773</v>
      </c>
      <c r="K19" s="200"/>
      <c r="L19" s="80"/>
      <c r="M19" s="80"/>
      <c r="N19" s="80"/>
      <c r="O19" s="12"/>
      <c r="P19" s="2"/>
      <c r="Q19" s="2"/>
      <c r="R19" s="80"/>
      <c r="S19" s="80"/>
      <c r="T19" s="80"/>
      <c r="U19" s="31"/>
    </row>
    <row r="20" spans="1:21" customFormat="1" ht="15">
      <c r="A20" s="170" t="s">
        <v>326</v>
      </c>
      <c r="B20" s="196">
        <v>6</v>
      </c>
      <c r="C20" s="196">
        <v>11</v>
      </c>
      <c r="D20" s="196"/>
      <c r="E20" s="196"/>
      <c r="F20" s="198">
        <f t="shared" si="0"/>
        <v>17</v>
      </c>
      <c r="G20" s="198">
        <f t="shared" si="1"/>
        <v>8.5</v>
      </c>
      <c r="H20" s="204">
        <f t="shared" si="2"/>
        <v>4.6860356138706656E-2</v>
      </c>
      <c r="K20" s="200"/>
      <c r="L20" s="80"/>
      <c r="M20" s="80"/>
      <c r="N20" s="80"/>
      <c r="O20" s="12"/>
      <c r="P20" s="2"/>
      <c r="Q20" s="2"/>
      <c r="R20" s="80"/>
      <c r="S20" s="80"/>
      <c r="T20" s="80"/>
      <c r="U20" s="31"/>
    </row>
    <row r="21" spans="1:21" customFormat="1" ht="15">
      <c r="A21" s="170" t="s">
        <v>305</v>
      </c>
      <c r="B21" s="196">
        <v>1989</v>
      </c>
      <c r="C21" s="196">
        <v>2013</v>
      </c>
      <c r="D21" s="196"/>
      <c r="E21" s="196"/>
      <c r="F21" s="198">
        <f t="shared" si="0"/>
        <v>4002</v>
      </c>
      <c r="G21" s="198">
        <f t="shared" si="1"/>
        <v>2001</v>
      </c>
      <c r="H21" s="204">
        <f t="shared" si="2"/>
        <v>11.031479133359062</v>
      </c>
      <c r="K21" s="200"/>
      <c r="L21" s="80"/>
      <c r="M21" s="80"/>
      <c r="N21" s="80"/>
      <c r="O21" s="12"/>
      <c r="P21" s="2"/>
      <c r="Q21" s="2"/>
      <c r="R21" s="80"/>
      <c r="S21" s="80"/>
      <c r="T21" s="80"/>
      <c r="U21" s="31"/>
    </row>
    <row r="22" spans="1:21" customFormat="1" ht="15">
      <c r="A22" s="170" t="s">
        <v>306</v>
      </c>
      <c r="B22" s="196">
        <v>1771</v>
      </c>
      <c r="C22" s="196">
        <v>1601</v>
      </c>
      <c r="D22" s="196"/>
      <c r="E22" s="196"/>
      <c r="F22" s="198">
        <f t="shared" si="0"/>
        <v>3372</v>
      </c>
      <c r="G22" s="198">
        <f t="shared" si="1"/>
        <v>1686</v>
      </c>
      <c r="H22" s="204">
        <f t="shared" si="2"/>
        <v>9.2948894646893425</v>
      </c>
      <c r="K22" s="200"/>
      <c r="L22" s="80"/>
      <c r="M22" s="80"/>
      <c r="N22" s="80"/>
      <c r="O22" s="12"/>
      <c r="P22" s="2"/>
      <c r="Q22" s="2"/>
      <c r="R22" s="80"/>
      <c r="S22" s="80"/>
      <c r="T22" s="80"/>
      <c r="U22" s="31"/>
    </row>
    <row r="23" spans="1:21" customFormat="1" ht="15">
      <c r="A23" s="170" t="s">
        <v>312</v>
      </c>
      <c r="B23" s="196">
        <v>1040</v>
      </c>
      <c r="C23" s="196">
        <v>825</v>
      </c>
      <c r="D23" s="196"/>
      <c r="E23" s="196"/>
      <c r="F23" s="198">
        <f t="shared" si="0"/>
        <v>1865</v>
      </c>
      <c r="G23" s="198">
        <f t="shared" si="1"/>
        <v>932.5</v>
      </c>
      <c r="H23" s="204">
        <f t="shared" si="2"/>
        <v>5.1408567175698767</v>
      </c>
      <c r="K23" s="200"/>
      <c r="L23" s="80"/>
      <c r="M23" s="80"/>
      <c r="N23" s="80"/>
      <c r="O23" s="12"/>
      <c r="P23" s="2"/>
      <c r="Q23" s="2"/>
      <c r="R23" s="80"/>
      <c r="S23" s="80"/>
      <c r="T23" s="80"/>
      <c r="U23" s="31"/>
    </row>
    <row r="24" spans="1:21" customFormat="1" ht="15">
      <c r="A24" s="197" t="s">
        <v>327</v>
      </c>
      <c r="B24" s="196">
        <v>63</v>
      </c>
      <c r="C24" s="196">
        <v>51</v>
      </c>
      <c r="D24" s="196"/>
      <c r="E24" s="196"/>
      <c r="F24" s="198">
        <f t="shared" si="0"/>
        <v>114</v>
      </c>
      <c r="G24" s="198">
        <f t="shared" si="1"/>
        <v>57</v>
      </c>
      <c r="H24" s="204">
        <f t="shared" si="2"/>
        <v>0.31424003528309169</v>
      </c>
      <c r="K24" s="202"/>
      <c r="L24" s="80"/>
      <c r="M24" s="80"/>
      <c r="N24" s="80"/>
      <c r="O24" s="12"/>
      <c r="P24" s="2"/>
      <c r="Q24" s="2"/>
      <c r="R24" s="80"/>
      <c r="S24" s="80"/>
      <c r="T24" s="80"/>
      <c r="U24" s="31"/>
    </row>
    <row r="25" spans="1:21" customFormat="1" ht="15">
      <c r="A25" s="197" t="s">
        <v>328</v>
      </c>
      <c r="B25" s="196">
        <v>76</v>
      </c>
      <c r="C25" s="196">
        <v>80</v>
      </c>
      <c r="D25" s="196"/>
      <c r="E25" s="196"/>
      <c r="F25" s="198">
        <f t="shared" si="0"/>
        <v>156</v>
      </c>
      <c r="G25" s="198">
        <f t="shared" si="1"/>
        <v>78</v>
      </c>
      <c r="H25" s="204">
        <f t="shared" si="2"/>
        <v>0.43001267986107283</v>
      </c>
      <c r="K25" s="202"/>
      <c r="L25" s="80"/>
      <c r="M25" s="80"/>
      <c r="N25" s="80"/>
      <c r="O25" s="12"/>
      <c r="P25" s="2"/>
      <c r="Q25" s="2"/>
      <c r="R25" s="80"/>
      <c r="S25" s="80"/>
      <c r="T25" s="80"/>
      <c r="U25" s="31"/>
    </row>
    <row r="26" spans="1:21" customFormat="1" ht="15">
      <c r="A26" s="197" t="s">
        <v>329</v>
      </c>
      <c r="B26" s="196">
        <v>129</v>
      </c>
      <c r="C26" s="196">
        <v>165</v>
      </c>
      <c r="D26" s="196"/>
      <c r="E26" s="196"/>
      <c r="F26" s="198">
        <f t="shared" si="0"/>
        <v>294</v>
      </c>
      <c r="G26" s="198">
        <f t="shared" si="1"/>
        <v>147</v>
      </c>
      <c r="H26" s="204">
        <f t="shared" si="2"/>
        <v>0.81040851204586795</v>
      </c>
      <c r="K26" s="202"/>
      <c r="L26" s="201"/>
      <c r="M26" s="80"/>
      <c r="N26" s="80"/>
      <c r="O26" s="12"/>
      <c r="P26" s="2"/>
      <c r="Q26" s="2"/>
      <c r="R26" s="80"/>
      <c r="S26" s="80"/>
      <c r="T26" s="80"/>
      <c r="U26" s="31"/>
    </row>
    <row r="27" spans="1:21" customFormat="1" ht="15">
      <c r="A27" s="197" t="s">
        <v>308</v>
      </c>
      <c r="B27" s="196">
        <v>1525</v>
      </c>
      <c r="C27" s="196">
        <v>967</v>
      </c>
      <c r="D27" s="196"/>
      <c r="E27" s="196"/>
      <c r="F27" s="198">
        <f t="shared" si="0"/>
        <v>2492</v>
      </c>
      <c r="G27" s="198">
        <f t="shared" si="1"/>
        <v>1246</v>
      </c>
      <c r="H27" s="204">
        <f t="shared" si="2"/>
        <v>6.869176911626881</v>
      </c>
      <c r="K27" s="202"/>
      <c r="L27" s="80"/>
      <c r="M27" s="80"/>
      <c r="N27" s="80"/>
      <c r="O27" s="12"/>
      <c r="P27" s="2"/>
      <c r="Q27" s="2"/>
      <c r="R27" s="80"/>
      <c r="S27" s="80"/>
      <c r="T27" s="80"/>
      <c r="U27" s="31"/>
    </row>
    <row r="28" spans="1:21" customFormat="1" ht="15">
      <c r="A28" s="197" t="s">
        <v>330</v>
      </c>
      <c r="B28" s="196">
        <v>141</v>
      </c>
      <c r="C28" s="196">
        <v>82</v>
      </c>
      <c r="D28" s="196"/>
      <c r="E28" s="196"/>
      <c r="F28" s="198">
        <f t="shared" si="0"/>
        <v>223</v>
      </c>
      <c r="G28" s="198">
        <f t="shared" si="1"/>
        <v>111.5</v>
      </c>
      <c r="H28" s="204">
        <f t="shared" si="2"/>
        <v>0.61469761287832847</v>
      </c>
      <c r="K28" s="202"/>
      <c r="L28" s="80"/>
      <c r="M28" s="80"/>
      <c r="N28" s="80"/>
      <c r="O28" s="12"/>
      <c r="P28" s="2"/>
      <c r="Q28" s="2"/>
      <c r="R28" s="80"/>
      <c r="S28" s="80"/>
      <c r="T28" s="80"/>
      <c r="U28" s="31"/>
    </row>
    <row r="29" spans="1:21" customFormat="1" ht="15">
      <c r="A29" s="197" t="s">
        <v>331</v>
      </c>
      <c r="B29" s="196">
        <v>67</v>
      </c>
      <c r="C29" s="196">
        <v>112</v>
      </c>
      <c r="D29" s="196"/>
      <c r="E29" s="196"/>
      <c r="F29" s="198">
        <f t="shared" si="0"/>
        <v>179</v>
      </c>
      <c r="G29" s="198">
        <f t="shared" si="1"/>
        <v>89.5</v>
      </c>
      <c r="H29" s="204">
        <f t="shared" si="2"/>
        <v>0.49341198522520535</v>
      </c>
      <c r="K29" s="202"/>
      <c r="L29" s="80"/>
      <c r="M29" s="80"/>
      <c r="N29" s="80"/>
      <c r="O29" s="12"/>
      <c r="P29" s="2"/>
      <c r="Q29" s="2"/>
      <c r="R29" s="80"/>
      <c r="S29" s="80"/>
      <c r="T29" s="80"/>
      <c r="U29" s="31"/>
    </row>
    <row r="30" spans="1:21" customFormat="1" ht="15">
      <c r="A30" s="197" t="s">
        <v>332</v>
      </c>
      <c r="B30" s="196">
        <v>39</v>
      </c>
      <c r="C30" s="196">
        <v>36</v>
      </c>
      <c r="D30" s="196"/>
      <c r="E30" s="196"/>
      <c r="F30" s="198">
        <f t="shared" si="0"/>
        <v>75</v>
      </c>
      <c r="G30" s="198">
        <f t="shared" si="1"/>
        <v>37.5</v>
      </c>
      <c r="H30" s="204">
        <f t="shared" si="2"/>
        <v>0.20673686531782345</v>
      </c>
      <c r="K30" s="202"/>
      <c r="L30" s="80"/>
      <c r="M30" s="80"/>
      <c r="N30" s="80"/>
      <c r="O30" s="12"/>
      <c r="P30" s="2"/>
      <c r="Q30" s="2"/>
      <c r="R30" s="80"/>
      <c r="S30" s="80"/>
      <c r="T30" s="80"/>
      <c r="U30" s="31"/>
    </row>
    <row r="31" spans="1:21" customFormat="1" ht="15">
      <c r="A31" s="197" t="s">
        <v>333</v>
      </c>
      <c r="B31" s="196">
        <v>94</v>
      </c>
      <c r="C31" s="196">
        <v>64</v>
      </c>
      <c r="D31" s="196"/>
      <c r="E31" s="196"/>
      <c r="F31" s="198">
        <f t="shared" si="0"/>
        <v>158</v>
      </c>
      <c r="G31" s="198">
        <f t="shared" si="1"/>
        <v>79</v>
      </c>
      <c r="H31" s="204">
        <f t="shared" si="2"/>
        <v>0.43552566293621475</v>
      </c>
      <c r="K31" s="202"/>
      <c r="L31" s="201"/>
      <c r="M31" s="80"/>
      <c r="N31" s="80"/>
      <c r="O31" s="12"/>
      <c r="P31" s="2"/>
      <c r="Q31" s="2"/>
      <c r="R31" s="80"/>
      <c r="S31" s="80"/>
      <c r="T31" s="80"/>
      <c r="U31" s="31"/>
    </row>
    <row r="32" spans="1:21" customFormat="1" ht="15">
      <c r="A32" s="197" t="s">
        <v>334</v>
      </c>
      <c r="B32" s="196">
        <v>124</v>
      </c>
      <c r="C32" s="196">
        <v>105</v>
      </c>
      <c r="D32" s="196"/>
      <c r="E32" s="196"/>
      <c r="F32" s="198">
        <f t="shared" si="0"/>
        <v>229</v>
      </c>
      <c r="G32" s="198">
        <f t="shared" si="1"/>
        <v>114.5</v>
      </c>
      <c r="H32" s="204">
        <f t="shared" si="2"/>
        <v>0.63123656210375434</v>
      </c>
      <c r="K32" s="202"/>
      <c r="L32" s="80"/>
      <c r="M32" s="80"/>
      <c r="N32" s="80"/>
      <c r="O32" s="12"/>
      <c r="P32" s="2"/>
      <c r="Q32" s="2"/>
      <c r="R32" s="80"/>
      <c r="S32" s="80"/>
      <c r="T32" s="80"/>
      <c r="U32" s="31"/>
    </row>
    <row r="33" spans="1:21" customFormat="1" ht="15" customHeight="1">
      <c r="A33" s="197" t="s">
        <v>335</v>
      </c>
      <c r="B33" s="196">
        <v>0</v>
      </c>
      <c r="C33" s="196">
        <v>2</v>
      </c>
      <c r="D33" s="196"/>
      <c r="E33" s="196"/>
      <c r="F33" s="198">
        <f t="shared" si="0"/>
        <v>2</v>
      </c>
      <c r="G33" s="198">
        <f t="shared" si="1"/>
        <v>1</v>
      </c>
      <c r="H33" s="204">
        <f t="shared" si="2"/>
        <v>5.5129830751419594E-3</v>
      </c>
      <c r="K33" s="202"/>
      <c r="L33" s="80"/>
      <c r="M33" s="80"/>
      <c r="N33" s="80"/>
      <c r="O33" s="12"/>
      <c r="P33" s="2"/>
      <c r="Q33" s="2"/>
      <c r="R33" s="80"/>
      <c r="S33" s="80"/>
      <c r="T33" s="80"/>
      <c r="U33" s="31"/>
    </row>
    <row r="34" spans="1:21" customFormat="1" ht="15" customHeight="1">
      <c r="A34" s="197" t="s">
        <v>336</v>
      </c>
      <c r="B34" s="196">
        <v>143</v>
      </c>
      <c r="C34" s="196">
        <v>130</v>
      </c>
      <c r="D34" s="196"/>
      <c r="E34" s="196"/>
      <c r="F34" s="198">
        <f t="shared" si="0"/>
        <v>273</v>
      </c>
      <c r="G34" s="198">
        <f t="shared" si="1"/>
        <v>136.5</v>
      </c>
      <c r="H34" s="204">
        <f t="shared" si="2"/>
        <v>0.75252218975687746</v>
      </c>
      <c r="K34" s="202"/>
      <c r="L34" s="80"/>
      <c r="M34" s="80"/>
      <c r="N34" s="80"/>
      <c r="O34" s="12"/>
      <c r="P34" s="2"/>
      <c r="Q34" s="2"/>
      <c r="R34" s="80"/>
      <c r="S34" s="80"/>
      <c r="T34" s="80"/>
      <c r="U34" s="31"/>
    </row>
    <row r="35" spans="1:21" customFormat="1" ht="15" customHeight="1">
      <c r="A35" s="170" t="s">
        <v>337</v>
      </c>
      <c r="B35" s="196">
        <v>165</v>
      </c>
      <c r="C35" s="196">
        <v>97</v>
      </c>
      <c r="D35" s="196"/>
      <c r="E35" s="196"/>
      <c r="F35" s="198">
        <f t="shared" si="0"/>
        <v>262</v>
      </c>
      <c r="G35" s="198">
        <f t="shared" si="1"/>
        <v>131</v>
      </c>
      <c r="H35" s="204">
        <f t="shared" si="2"/>
        <v>0.72220078284359668</v>
      </c>
      <c r="K35" s="200"/>
      <c r="L35" s="80"/>
      <c r="M35" s="80"/>
      <c r="N35" s="80"/>
      <c r="O35" s="12"/>
      <c r="P35" s="2"/>
      <c r="Q35" s="2"/>
      <c r="R35" s="80"/>
      <c r="S35" s="80"/>
      <c r="T35" s="80"/>
      <c r="U35" s="31"/>
    </row>
    <row r="36" spans="1:21" customFormat="1" ht="15" customHeight="1">
      <c r="A36" s="170" t="s">
        <v>338</v>
      </c>
      <c r="B36" s="196">
        <v>14</v>
      </c>
      <c r="C36" s="196">
        <v>7</v>
      </c>
      <c r="D36" s="196"/>
      <c r="E36" s="196"/>
      <c r="F36" s="198">
        <f t="shared" si="0"/>
        <v>21</v>
      </c>
      <c r="G36" s="198">
        <f t="shared" si="1"/>
        <v>10.5</v>
      </c>
      <c r="H36" s="204">
        <f t="shared" si="2"/>
        <v>5.7886322288990572E-2</v>
      </c>
      <c r="K36" s="200"/>
      <c r="L36" s="80"/>
      <c r="M36" s="80"/>
      <c r="N36" s="80"/>
      <c r="O36" s="12"/>
      <c r="P36" s="2"/>
      <c r="Q36" s="2"/>
      <c r="R36" s="80"/>
      <c r="S36" s="80"/>
      <c r="T36" s="80"/>
      <c r="U36" s="31"/>
    </row>
    <row r="37" spans="1:21" customFormat="1" ht="15" customHeight="1">
      <c r="A37" s="170" t="s">
        <v>339</v>
      </c>
      <c r="B37" s="196">
        <v>281</v>
      </c>
      <c r="C37" s="196">
        <v>248</v>
      </c>
      <c r="D37" s="196"/>
      <c r="E37" s="196"/>
      <c r="F37" s="198">
        <f t="shared" ref="F37:F68" si="3">SUM(B37:E37)</f>
        <v>529</v>
      </c>
      <c r="G37" s="198">
        <f t="shared" ref="G37:G70" si="4">AVERAGE(B37:E37)</f>
        <v>264.5</v>
      </c>
      <c r="H37" s="204">
        <f t="shared" ref="H37:H70" si="5">(F37/$F$71)*100</f>
        <v>1.4581840233750483</v>
      </c>
      <c r="K37" s="200"/>
      <c r="L37" s="80"/>
      <c r="M37" s="80"/>
      <c r="N37" s="80"/>
      <c r="O37" s="12"/>
      <c r="P37" s="2"/>
      <c r="Q37" s="2"/>
      <c r="R37" s="80"/>
      <c r="S37" s="80"/>
      <c r="T37" s="80"/>
      <c r="U37" s="31"/>
    </row>
    <row r="38" spans="1:21" customFormat="1" ht="15" customHeight="1">
      <c r="A38" s="170" t="s">
        <v>340</v>
      </c>
      <c r="B38" s="196">
        <v>399</v>
      </c>
      <c r="C38" s="196">
        <v>216</v>
      </c>
      <c r="D38" s="196"/>
      <c r="E38" s="196"/>
      <c r="F38" s="198">
        <f t="shared" si="3"/>
        <v>615</v>
      </c>
      <c r="G38" s="198">
        <f t="shared" si="4"/>
        <v>307.5</v>
      </c>
      <c r="H38" s="204">
        <f t="shared" si="5"/>
        <v>1.6952422956061524</v>
      </c>
      <c r="K38" s="200"/>
      <c r="L38" s="80"/>
      <c r="M38" s="80"/>
      <c r="N38" s="80"/>
      <c r="O38" s="12"/>
      <c r="P38" s="2"/>
      <c r="Q38" s="2"/>
      <c r="R38" s="80"/>
      <c r="S38" s="80"/>
      <c r="T38" s="80"/>
      <c r="U38" s="31"/>
    </row>
    <row r="39" spans="1:21" customFormat="1" ht="15" customHeight="1">
      <c r="A39" s="170" t="s">
        <v>341</v>
      </c>
      <c r="B39" s="196">
        <v>85</v>
      </c>
      <c r="C39" s="196">
        <v>88</v>
      </c>
      <c r="D39" s="196"/>
      <c r="E39" s="196"/>
      <c r="F39" s="198">
        <f t="shared" si="3"/>
        <v>173</v>
      </c>
      <c r="G39" s="198">
        <f t="shared" si="4"/>
        <v>86.5</v>
      </c>
      <c r="H39" s="204">
        <f t="shared" si="5"/>
        <v>0.47687303599977954</v>
      </c>
      <c r="K39" s="200"/>
      <c r="L39" s="80"/>
      <c r="M39" s="80"/>
      <c r="N39" s="80"/>
      <c r="O39" s="12"/>
      <c r="P39" s="2"/>
      <c r="Q39" s="2"/>
      <c r="R39" s="80"/>
      <c r="S39" s="80"/>
      <c r="T39" s="80"/>
      <c r="U39" s="31"/>
    </row>
    <row r="40" spans="1:21" customFormat="1" ht="15" customHeight="1">
      <c r="A40" s="170" t="s">
        <v>342</v>
      </c>
      <c r="B40" s="196">
        <v>230</v>
      </c>
      <c r="C40" s="196">
        <v>282</v>
      </c>
      <c r="D40" s="196"/>
      <c r="E40" s="196"/>
      <c r="F40" s="198">
        <f t="shared" si="3"/>
        <v>512</v>
      </c>
      <c r="G40" s="198">
        <f t="shared" si="4"/>
        <v>256</v>
      </c>
      <c r="H40" s="204">
        <f t="shared" si="5"/>
        <v>1.4113236672363416</v>
      </c>
      <c r="K40" s="200"/>
      <c r="L40" s="80"/>
      <c r="M40" s="80"/>
      <c r="N40" s="80"/>
      <c r="O40" s="12"/>
      <c r="P40" s="2"/>
      <c r="Q40" s="2"/>
      <c r="R40" s="80"/>
      <c r="S40" s="80"/>
      <c r="T40" s="80"/>
      <c r="U40" s="31"/>
    </row>
    <row r="41" spans="1:21" customFormat="1" ht="15" customHeight="1">
      <c r="A41" s="170" t="s">
        <v>343</v>
      </c>
      <c r="B41" s="196">
        <v>156</v>
      </c>
      <c r="C41" s="196">
        <v>157</v>
      </c>
      <c r="D41" s="196"/>
      <c r="E41" s="196"/>
      <c r="F41" s="198">
        <f t="shared" si="3"/>
        <v>313</v>
      </c>
      <c r="G41" s="198">
        <f t="shared" si="4"/>
        <v>156.5</v>
      </c>
      <c r="H41" s="204">
        <f t="shared" si="5"/>
        <v>0.86278185125971663</v>
      </c>
      <c r="K41" s="200"/>
      <c r="L41" s="80"/>
      <c r="M41" s="80"/>
      <c r="N41" s="80"/>
      <c r="O41" s="12"/>
      <c r="P41" s="2"/>
      <c r="Q41" s="2"/>
      <c r="R41" s="80"/>
      <c r="S41" s="80"/>
      <c r="T41" s="80"/>
      <c r="U41" s="31"/>
    </row>
    <row r="42" spans="1:21" customFormat="1" ht="15" customHeight="1">
      <c r="A42" s="170" t="s">
        <v>344</v>
      </c>
      <c r="B42" s="196">
        <v>128</v>
      </c>
      <c r="C42" s="196">
        <v>108</v>
      </c>
      <c r="D42" s="196"/>
      <c r="E42" s="196"/>
      <c r="F42" s="198">
        <f t="shared" si="3"/>
        <v>236</v>
      </c>
      <c r="G42" s="198">
        <f t="shared" si="4"/>
        <v>118</v>
      </c>
      <c r="H42" s="204">
        <f t="shared" si="5"/>
        <v>0.65053200286675117</v>
      </c>
      <c r="K42" s="200"/>
      <c r="L42" s="80"/>
      <c r="M42" s="80"/>
      <c r="N42" s="80"/>
      <c r="O42" s="12"/>
      <c r="P42" s="2"/>
      <c r="Q42" s="2"/>
      <c r="R42" s="80"/>
      <c r="S42" s="80"/>
      <c r="T42" s="80"/>
      <c r="U42" s="31"/>
    </row>
    <row r="43" spans="1:21" customFormat="1" ht="15" customHeight="1">
      <c r="A43" s="170" t="s">
        <v>345</v>
      </c>
      <c r="B43" s="196">
        <v>115</v>
      </c>
      <c r="C43" s="196">
        <v>96</v>
      </c>
      <c r="D43" s="196"/>
      <c r="E43" s="196"/>
      <c r="F43" s="198">
        <f t="shared" si="3"/>
        <v>211</v>
      </c>
      <c r="G43" s="198">
        <f t="shared" si="4"/>
        <v>105.5</v>
      </c>
      <c r="H43" s="204">
        <f t="shared" si="5"/>
        <v>0.58161971442747673</v>
      </c>
      <c r="K43" s="200"/>
      <c r="L43" s="80"/>
      <c r="M43" s="80"/>
      <c r="N43" s="80"/>
      <c r="O43" s="12"/>
      <c r="P43" s="2"/>
      <c r="Q43" s="2"/>
      <c r="R43" s="80"/>
      <c r="S43" s="80"/>
      <c r="T43" s="80"/>
      <c r="U43" s="31"/>
    </row>
    <row r="44" spans="1:21" customFormat="1" ht="15" customHeight="1">
      <c r="A44" s="170" t="s">
        <v>346</v>
      </c>
      <c r="B44" s="196">
        <v>98</v>
      </c>
      <c r="C44" s="196">
        <v>93</v>
      </c>
      <c r="D44" s="196"/>
      <c r="E44" s="196"/>
      <c r="F44" s="198">
        <f t="shared" si="3"/>
        <v>191</v>
      </c>
      <c r="G44" s="198">
        <f t="shared" si="4"/>
        <v>95.5</v>
      </c>
      <c r="H44" s="204">
        <f t="shared" si="5"/>
        <v>0.52648988367605709</v>
      </c>
      <c r="K44" s="200"/>
      <c r="L44" s="80"/>
      <c r="M44" s="80"/>
      <c r="N44" s="80"/>
      <c r="O44" s="12"/>
      <c r="P44" s="2"/>
      <c r="Q44" s="2"/>
      <c r="R44" s="80"/>
      <c r="S44" s="80"/>
      <c r="T44" s="80"/>
      <c r="U44" s="31"/>
    </row>
    <row r="45" spans="1:21" customFormat="1" ht="15" customHeight="1">
      <c r="A45" s="170" t="s">
        <v>347</v>
      </c>
      <c r="B45" s="196">
        <v>22</v>
      </c>
      <c r="C45" s="196">
        <v>20</v>
      </c>
      <c r="D45" s="196"/>
      <c r="E45" s="196"/>
      <c r="F45" s="198">
        <f t="shared" si="3"/>
        <v>42</v>
      </c>
      <c r="G45" s="198">
        <f t="shared" si="4"/>
        <v>21</v>
      </c>
      <c r="H45" s="204">
        <f t="shared" si="5"/>
        <v>0.11577264457798114</v>
      </c>
      <c r="K45" s="200"/>
      <c r="L45" s="80"/>
      <c r="M45" s="80"/>
      <c r="N45" s="80"/>
      <c r="O45" s="12"/>
      <c r="P45" s="2"/>
      <c r="Q45" s="2"/>
      <c r="R45" s="80"/>
      <c r="S45" s="80"/>
      <c r="T45" s="80"/>
      <c r="U45" s="31"/>
    </row>
    <row r="46" spans="1:21" customFormat="1" ht="15" customHeight="1">
      <c r="A46" s="170" t="s">
        <v>348</v>
      </c>
      <c r="B46" s="196">
        <v>33</v>
      </c>
      <c r="C46" s="196">
        <v>30</v>
      </c>
      <c r="D46" s="196"/>
      <c r="E46" s="196"/>
      <c r="F46" s="198">
        <f t="shared" si="3"/>
        <v>63</v>
      </c>
      <c r="G46" s="198">
        <f t="shared" si="4"/>
        <v>31.5</v>
      </c>
      <c r="H46" s="204">
        <f t="shared" si="5"/>
        <v>0.17365896686697171</v>
      </c>
      <c r="K46" s="200"/>
      <c r="L46" s="80"/>
      <c r="M46" s="80"/>
      <c r="N46" s="80"/>
      <c r="O46" s="12"/>
      <c r="P46" s="2"/>
      <c r="Q46" s="2"/>
      <c r="R46" s="80"/>
      <c r="S46" s="80"/>
      <c r="T46" s="80"/>
      <c r="U46" s="31"/>
    </row>
    <row r="47" spans="1:21" customFormat="1" ht="15" customHeight="1">
      <c r="A47" s="170" t="s">
        <v>349</v>
      </c>
      <c r="B47" s="196">
        <v>68</v>
      </c>
      <c r="C47" s="196">
        <v>47</v>
      </c>
      <c r="D47" s="196"/>
      <c r="E47" s="196"/>
      <c r="F47" s="198">
        <f t="shared" si="3"/>
        <v>115</v>
      </c>
      <c r="G47" s="198">
        <f t="shared" si="4"/>
        <v>57.5</v>
      </c>
      <c r="H47" s="204">
        <f t="shared" si="5"/>
        <v>0.31699652682066265</v>
      </c>
      <c r="K47" s="200"/>
      <c r="L47" s="80"/>
      <c r="M47" s="80"/>
      <c r="N47" s="80"/>
      <c r="O47" s="12"/>
      <c r="P47" s="2"/>
      <c r="Q47" s="2"/>
      <c r="R47" s="80"/>
      <c r="S47" s="80"/>
      <c r="T47" s="80"/>
      <c r="U47" s="31"/>
    </row>
    <row r="48" spans="1:21" customFormat="1" ht="15" customHeight="1">
      <c r="A48" s="170" t="s">
        <v>350</v>
      </c>
      <c r="B48" s="196">
        <v>51</v>
      </c>
      <c r="C48" s="196">
        <v>37</v>
      </c>
      <c r="D48" s="196"/>
      <c r="E48" s="196"/>
      <c r="F48" s="198">
        <f t="shared" si="3"/>
        <v>88</v>
      </c>
      <c r="G48" s="198">
        <f t="shared" si="4"/>
        <v>44</v>
      </c>
      <c r="H48" s="204">
        <f t="shared" si="5"/>
        <v>0.24257125530624621</v>
      </c>
      <c r="K48" s="200"/>
      <c r="L48" s="80"/>
      <c r="M48" s="80"/>
      <c r="N48" s="80"/>
      <c r="O48" s="12"/>
      <c r="P48" s="2"/>
      <c r="Q48" s="2"/>
      <c r="R48" s="80"/>
      <c r="S48" s="80"/>
      <c r="T48" s="80"/>
      <c r="U48" s="31"/>
    </row>
    <row r="49" spans="1:21" customFormat="1" ht="15" customHeight="1">
      <c r="A49" s="170" t="s">
        <v>351</v>
      </c>
      <c r="B49" s="196">
        <v>193</v>
      </c>
      <c r="C49" s="196">
        <v>224</v>
      </c>
      <c r="D49" s="196"/>
      <c r="E49" s="196"/>
      <c r="F49" s="198">
        <f t="shared" si="3"/>
        <v>417</v>
      </c>
      <c r="G49" s="198">
        <f t="shared" si="4"/>
        <v>208.5</v>
      </c>
      <c r="H49" s="204">
        <f t="shared" si="5"/>
        <v>1.1494569711670986</v>
      </c>
      <c r="K49" s="200"/>
      <c r="L49" s="80"/>
      <c r="M49" s="80"/>
      <c r="N49" s="80"/>
      <c r="O49" s="12"/>
      <c r="P49" s="2"/>
      <c r="Q49" s="2"/>
      <c r="R49" s="80"/>
      <c r="S49" s="80"/>
      <c r="T49" s="80"/>
      <c r="U49" s="31"/>
    </row>
    <row r="50" spans="1:21" customFormat="1" ht="15" customHeight="1">
      <c r="A50" s="170" t="s">
        <v>352</v>
      </c>
      <c r="B50" s="196">
        <v>71</v>
      </c>
      <c r="C50" s="196">
        <v>89</v>
      </c>
      <c r="D50" s="196"/>
      <c r="E50" s="196"/>
      <c r="F50" s="198">
        <f t="shared" si="3"/>
        <v>160</v>
      </c>
      <c r="G50" s="198">
        <f t="shared" si="4"/>
        <v>80</v>
      </c>
      <c r="H50" s="204">
        <f t="shared" si="5"/>
        <v>0.44103864601135678</v>
      </c>
      <c r="K50" s="200"/>
      <c r="L50" s="80"/>
      <c r="M50" s="80"/>
      <c r="N50" s="80"/>
      <c r="O50" s="12"/>
      <c r="P50" s="2"/>
      <c r="Q50" s="2"/>
      <c r="R50" s="80"/>
      <c r="S50" s="80"/>
      <c r="T50" s="80"/>
      <c r="U50" s="31"/>
    </row>
    <row r="51" spans="1:21" customFormat="1" ht="15" customHeight="1">
      <c r="A51" s="170" t="s">
        <v>353</v>
      </c>
      <c r="B51" s="196">
        <v>179</v>
      </c>
      <c r="C51" s="196">
        <v>144</v>
      </c>
      <c r="D51" s="196"/>
      <c r="E51" s="196"/>
      <c r="F51" s="198">
        <f t="shared" si="3"/>
        <v>323</v>
      </c>
      <c r="G51" s="198">
        <f t="shared" si="4"/>
        <v>161.5</v>
      </c>
      <c r="H51" s="204">
        <f t="shared" si="5"/>
        <v>0.89034676663542656</v>
      </c>
      <c r="K51" s="200"/>
      <c r="L51" s="80"/>
      <c r="M51" s="80"/>
      <c r="N51" s="80"/>
      <c r="O51" s="12"/>
      <c r="P51" s="2"/>
      <c r="Q51" s="2"/>
      <c r="R51" s="80"/>
      <c r="S51" s="80"/>
      <c r="T51" s="80"/>
      <c r="U51" s="31"/>
    </row>
    <row r="52" spans="1:21" customFormat="1" ht="15" customHeight="1">
      <c r="A52" s="170" t="s">
        <v>354</v>
      </c>
      <c r="B52" s="196">
        <v>76</v>
      </c>
      <c r="C52" s="196">
        <v>45</v>
      </c>
      <c r="D52" s="196"/>
      <c r="E52" s="196"/>
      <c r="F52" s="198">
        <f t="shared" si="3"/>
        <v>121</v>
      </c>
      <c r="G52" s="198">
        <f t="shared" si="4"/>
        <v>60.5</v>
      </c>
      <c r="H52" s="204">
        <f t="shared" si="5"/>
        <v>0.33353547604608852</v>
      </c>
      <c r="K52" s="200"/>
      <c r="L52" s="80"/>
      <c r="M52" s="80"/>
      <c r="N52" s="80"/>
      <c r="O52" s="12"/>
      <c r="P52" s="2"/>
      <c r="Q52" s="2"/>
      <c r="R52" s="80"/>
      <c r="S52" s="80"/>
      <c r="T52" s="80"/>
      <c r="U52" s="31"/>
    </row>
    <row r="53" spans="1:21" customFormat="1" ht="15" customHeight="1">
      <c r="A53" s="170" t="s">
        <v>355</v>
      </c>
      <c r="B53" s="196">
        <v>118</v>
      </c>
      <c r="C53" s="196">
        <v>103</v>
      </c>
      <c r="D53" s="196"/>
      <c r="E53" s="196"/>
      <c r="F53" s="198">
        <f t="shared" si="3"/>
        <v>221</v>
      </c>
      <c r="G53" s="198">
        <f t="shared" si="4"/>
        <v>110.5</v>
      </c>
      <c r="H53" s="204">
        <f t="shared" si="5"/>
        <v>0.60918462980318655</v>
      </c>
      <c r="K53" s="200"/>
      <c r="L53" s="80"/>
      <c r="M53" s="80"/>
      <c r="N53" s="80"/>
      <c r="O53" s="12"/>
      <c r="P53" s="2"/>
      <c r="Q53" s="2"/>
      <c r="R53" s="80"/>
      <c r="S53" s="80"/>
      <c r="T53" s="80"/>
      <c r="U53" s="31"/>
    </row>
    <row r="54" spans="1:21" customFormat="1" ht="15" customHeight="1">
      <c r="A54" s="170" t="s">
        <v>356</v>
      </c>
      <c r="B54" s="196">
        <v>213</v>
      </c>
      <c r="C54" s="196">
        <v>192</v>
      </c>
      <c r="D54" s="196"/>
      <c r="E54" s="196"/>
      <c r="F54" s="198">
        <f t="shared" si="3"/>
        <v>405</v>
      </c>
      <c r="G54" s="198">
        <f t="shared" si="4"/>
        <v>202.5</v>
      </c>
      <c r="H54" s="204">
        <f t="shared" si="5"/>
        <v>1.1163790727162468</v>
      </c>
      <c r="K54" s="200"/>
      <c r="L54" s="80"/>
      <c r="M54" s="80"/>
      <c r="N54" s="80"/>
      <c r="O54" s="12"/>
      <c r="P54" s="2"/>
      <c r="Q54" s="2"/>
      <c r="R54" s="80"/>
      <c r="S54" s="80"/>
      <c r="T54" s="80"/>
      <c r="U54" s="31"/>
    </row>
    <row r="55" spans="1:21" customFormat="1" ht="15" customHeight="1">
      <c r="A55" s="170" t="s">
        <v>357</v>
      </c>
      <c r="B55" s="196">
        <v>81</v>
      </c>
      <c r="C55" s="196">
        <v>86</v>
      </c>
      <c r="D55" s="196"/>
      <c r="E55" s="196"/>
      <c r="F55" s="198">
        <f t="shared" si="3"/>
        <v>167</v>
      </c>
      <c r="G55" s="198">
        <f t="shared" si="4"/>
        <v>83.5</v>
      </c>
      <c r="H55" s="204">
        <f t="shared" si="5"/>
        <v>0.46033408677435361</v>
      </c>
      <c r="K55" s="200"/>
      <c r="L55" s="80"/>
      <c r="M55" s="80"/>
      <c r="N55" s="80"/>
      <c r="O55" s="12"/>
      <c r="P55" s="2"/>
      <c r="Q55" s="2"/>
      <c r="R55" s="80"/>
      <c r="S55" s="80"/>
      <c r="T55" s="80"/>
      <c r="U55" s="31"/>
    </row>
    <row r="56" spans="1:21" customFormat="1" ht="15" customHeight="1">
      <c r="A56" s="170" t="s">
        <v>358</v>
      </c>
      <c r="B56" s="196">
        <v>168</v>
      </c>
      <c r="C56" s="196">
        <v>177</v>
      </c>
      <c r="D56" s="196"/>
      <c r="E56" s="196"/>
      <c r="F56" s="198">
        <f t="shared" si="3"/>
        <v>345</v>
      </c>
      <c r="G56" s="198">
        <f t="shared" si="4"/>
        <v>172.5</v>
      </c>
      <c r="H56" s="204">
        <f t="shared" si="5"/>
        <v>0.950989580461988</v>
      </c>
      <c r="K56" s="200"/>
      <c r="L56" s="80"/>
      <c r="M56" s="80"/>
      <c r="N56" s="80"/>
      <c r="O56" s="12"/>
      <c r="P56" s="2"/>
      <c r="Q56" s="2"/>
      <c r="R56" s="80"/>
      <c r="S56" s="80"/>
      <c r="T56" s="80"/>
      <c r="U56" s="31"/>
    </row>
    <row r="57" spans="1:21" customFormat="1" ht="15" customHeight="1">
      <c r="A57" s="170" t="s">
        <v>359</v>
      </c>
      <c r="B57" s="196">
        <v>51</v>
      </c>
      <c r="C57" s="196">
        <v>63</v>
      </c>
      <c r="D57" s="196"/>
      <c r="E57" s="196"/>
      <c r="F57" s="198">
        <f t="shared" si="3"/>
        <v>114</v>
      </c>
      <c r="G57" s="198">
        <f t="shared" si="4"/>
        <v>57</v>
      </c>
      <c r="H57" s="204">
        <f t="shared" si="5"/>
        <v>0.31424003528309169</v>
      </c>
      <c r="K57" s="200"/>
      <c r="L57" s="80"/>
      <c r="M57" s="80"/>
      <c r="N57" s="80"/>
      <c r="O57" s="12"/>
      <c r="P57" s="2"/>
      <c r="Q57" s="2"/>
      <c r="R57" s="80"/>
      <c r="S57" s="80"/>
      <c r="T57" s="80"/>
      <c r="U57" s="31"/>
    </row>
    <row r="58" spans="1:21" customFormat="1" ht="15" customHeight="1">
      <c r="A58" s="170" t="s">
        <v>360</v>
      </c>
      <c r="B58" s="196">
        <v>192</v>
      </c>
      <c r="C58" s="196">
        <v>165</v>
      </c>
      <c r="D58" s="196"/>
      <c r="E58" s="196"/>
      <c r="F58" s="198">
        <f t="shared" si="3"/>
        <v>357</v>
      </c>
      <c r="G58" s="198">
        <f t="shared" si="4"/>
        <v>178.5</v>
      </c>
      <c r="H58" s="204">
        <f t="shared" si="5"/>
        <v>0.98406747891283974</v>
      </c>
      <c r="K58" s="200"/>
      <c r="L58" s="80"/>
      <c r="M58" s="80"/>
      <c r="N58" s="80"/>
      <c r="O58" s="12"/>
      <c r="P58" s="2"/>
      <c r="Q58" s="2"/>
      <c r="R58" s="80"/>
      <c r="S58" s="80"/>
      <c r="T58" s="80"/>
      <c r="U58" s="31"/>
    </row>
    <row r="59" spans="1:21" customFormat="1" ht="15" customHeight="1">
      <c r="A59" s="170" t="s">
        <v>361</v>
      </c>
      <c r="B59" s="196">
        <v>20</v>
      </c>
      <c r="C59" s="196">
        <v>19</v>
      </c>
      <c r="D59" s="196"/>
      <c r="E59" s="196"/>
      <c r="F59" s="198">
        <f t="shared" si="3"/>
        <v>39</v>
      </c>
      <c r="G59" s="198">
        <f t="shared" si="4"/>
        <v>19.5</v>
      </c>
      <c r="H59" s="204">
        <f t="shared" si="5"/>
        <v>0.10750316996526821</v>
      </c>
      <c r="K59" s="200"/>
      <c r="L59" s="80"/>
      <c r="M59" s="80"/>
      <c r="N59" s="80"/>
      <c r="O59" s="12"/>
      <c r="P59" s="2"/>
      <c r="Q59" s="2"/>
      <c r="R59" s="80"/>
      <c r="S59" s="80"/>
      <c r="T59" s="80"/>
      <c r="U59" s="31"/>
    </row>
    <row r="60" spans="1:21" customFormat="1" ht="15" customHeight="1">
      <c r="A60" s="170" t="s">
        <v>362</v>
      </c>
      <c r="B60" s="196">
        <v>142</v>
      </c>
      <c r="C60" s="196">
        <v>185</v>
      </c>
      <c r="D60" s="196"/>
      <c r="E60" s="196"/>
      <c r="F60" s="198">
        <f t="shared" si="3"/>
        <v>327</v>
      </c>
      <c r="G60" s="198">
        <f t="shared" si="4"/>
        <v>163.5</v>
      </c>
      <c r="H60" s="204">
        <f t="shared" si="5"/>
        <v>0.9013727327857104</v>
      </c>
      <c r="K60" s="200"/>
      <c r="L60" s="80"/>
      <c r="M60" s="80"/>
      <c r="N60" s="80"/>
      <c r="O60" s="12"/>
      <c r="P60" s="2"/>
      <c r="Q60" s="2"/>
      <c r="R60" s="80"/>
      <c r="S60" s="80"/>
      <c r="T60" s="80"/>
      <c r="U60" s="31"/>
    </row>
    <row r="61" spans="1:21" customFormat="1" ht="15" customHeight="1">
      <c r="A61" s="170" t="s">
        <v>363</v>
      </c>
      <c r="B61" s="196">
        <v>222</v>
      </c>
      <c r="C61" s="196">
        <v>187</v>
      </c>
      <c r="D61" s="196"/>
      <c r="E61" s="196"/>
      <c r="F61" s="198">
        <f t="shared" si="3"/>
        <v>409</v>
      </c>
      <c r="G61" s="198">
        <f t="shared" si="4"/>
        <v>204.5</v>
      </c>
      <c r="H61" s="204">
        <f t="shared" si="5"/>
        <v>1.1274050388665307</v>
      </c>
      <c r="K61" s="200"/>
      <c r="L61" s="80"/>
      <c r="M61" s="80"/>
      <c r="N61" s="80"/>
      <c r="O61" s="12"/>
      <c r="P61" s="2"/>
      <c r="Q61" s="2"/>
      <c r="R61" s="80"/>
      <c r="S61" s="80"/>
      <c r="T61" s="80"/>
      <c r="U61" s="31"/>
    </row>
    <row r="62" spans="1:21" customFormat="1" ht="15" customHeight="1">
      <c r="A62" s="170" t="s">
        <v>364</v>
      </c>
      <c r="B62" s="196">
        <v>165</v>
      </c>
      <c r="C62" s="196">
        <v>156</v>
      </c>
      <c r="D62" s="196"/>
      <c r="E62" s="196"/>
      <c r="F62" s="198">
        <f t="shared" si="3"/>
        <v>321</v>
      </c>
      <c r="G62" s="198">
        <f t="shared" si="4"/>
        <v>160.5</v>
      </c>
      <c r="H62" s="204">
        <f t="shared" si="5"/>
        <v>0.88483378356028453</v>
      </c>
      <c r="K62" s="200"/>
      <c r="L62" s="80"/>
      <c r="M62" s="80"/>
      <c r="N62" s="80"/>
      <c r="O62" s="12"/>
      <c r="P62" s="2"/>
      <c r="Q62" s="2"/>
      <c r="R62" s="80"/>
      <c r="S62" s="80"/>
      <c r="T62" s="80"/>
      <c r="U62" s="31"/>
    </row>
    <row r="63" spans="1:21" customFormat="1" ht="15" customHeight="1">
      <c r="A63" s="170" t="s">
        <v>365</v>
      </c>
      <c r="B63" s="196">
        <v>149</v>
      </c>
      <c r="C63" s="196">
        <v>127</v>
      </c>
      <c r="D63" s="196"/>
      <c r="E63" s="196"/>
      <c r="F63" s="198">
        <f t="shared" si="3"/>
        <v>276</v>
      </c>
      <c r="G63" s="198">
        <f t="shared" si="4"/>
        <v>138</v>
      </c>
      <c r="H63" s="204">
        <f t="shared" si="5"/>
        <v>0.76079166436959045</v>
      </c>
      <c r="K63" s="200"/>
      <c r="L63" s="80"/>
      <c r="M63" s="80"/>
      <c r="N63" s="80"/>
      <c r="O63" s="12"/>
      <c r="P63" s="2"/>
      <c r="Q63" s="2"/>
      <c r="R63" s="80"/>
      <c r="S63" s="80"/>
      <c r="T63" s="80"/>
      <c r="U63" s="31"/>
    </row>
    <row r="64" spans="1:21" customFormat="1" ht="15" customHeight="1">
      <c r="A64" s="170" t="s">
        <v>366</v>
      </c>
      <c r="B64" s="196">
        <v>104</v>
      </c>
      <c r="C64" s="196">
        <v>85</v>
      </c>
      <c r="D64" s="196"/>
      <c r="E64" s="196"/>
      <c r="F64" s="198">
        <f t="shared" si="3"/>
        <v>189</v>
      </c>
      <c r="G64" s="198">
        <f t="shared" si="4"/>
        <v>94.5</v>
      </c>
      <c r="H64" s="204">
        <f t="shared" si="5"/>
        <v>0.52097690060091517</v>
      </c>
      <c r="K64" s="200"/>
      <c r="L64" s="80"/>
      <c r="M64" s="80"/>
      <c r="N64" s="80"/>
      <c r="O64" s="12"/>
      <c r="P64" s="2"/>
      <c r="Q64" s="2"/>
      <c r="R64" s="80"/>
      <c r="S64" s="80"/>
      <c r="T64" s="80"/>
      <c r="U64" s="31"/>
    </row>
    <row r="65" spans="1:21" customFormat="1" ht="15.75" customHeight="1">
      <c r="A65" s="170" t="s">
        <v>367</v>
      </c>
      <c r="B65" s="196">
        <v>57</v>
      </c>
      <c r="C65" s="196">
        <v>55</v>
      </c>
      <c r="D65" s="196"/>
      <c r="E65" s="196"/>
      <c r="F65" s="198">
        <f t="shared" si="3"/>
        <v>112</v>
      </c>
      <c r="G65" s="198">
        <f t="shared" si="4"/>
        <v>56</v>
      </c>
      <c r="H65" s="204">
        <f t="shared" si="5"/>
        <v>0.30872705220794971</v>
      </c>
      <c r="K65" s="200"/>
      <c r="L65" s="80"/>
      <c r="M65" s="80"/>
      <c r="N65" s="80"/>
      <c r="O65" s="12"/>
      <c r="P65" s="2"/>
      <c r="Q65" s="2"/>
      <c r="R65" s="80"/>
      <c r="S65" s="80"/>
      <c r="T65" s="80"/>
      <c r="U65" s="31"/>
    </row>
    <row r="66" spans="1:21" customFormat="1" ht="15.75" customHeight="1">
      <c r="A66" s="170" t="s">
        <v>368</v>
      </c>
      <c r="B66" s="196">
        <v>46</v>
      </c>
      <c r="C66" s="196">
        <v>45</v>
      </c>
      <c r="D66" s="196"/>
      <c r="E66" s="196"/>
      <c r="F66" s="198">
        <f t="shared" si="3"/>
        <v>91</v>
      </c>
      <c r="G66" s="198">
        <f t="shared" si="4"/>
        <v>45.5</v>
      </c>
      <c r="H66" s="204">
        <f t="shared" si="5"/>
        <v>0.25084072991895912</v>
      </c>
      <c r="K66" s="200"/>
      <c r="L66" s="80"/>
      <c r="M66" s="80"/>
      <c r="N66" s="80"/>
      <c r="O66" s="12"/>
      <c r="P66" s="2"/>
      <c r="Q66" s="2"/>
      <c r="R66" s="80"/>
      <c r="S66" s="80"/>
      <c r="T66" s="80"/>
      <c r="U66" s="31"/>
    </row>
    <row r="67" spans="1:21" customFormat="1" ht="15" customHeight="1">
      <c r="A67" s="170" t="s">
        <v>369</v>
      </c>
      <c r="B67" s="196">
        <v>288</v>
      </c>
      <c r="C67" s="196">
        <v>385</v>
      </c>
      <c r="D67" s="196"/>
      <c r="E67" s="196"/>
      <c r="F67" s="198">
        <f t="shared" si="3"/>
        <v>673</v>
      </c>
      <c r="G67" s="198">
        <f t="shared" si="4"/>
        <v>336.5</v>
      </c>
      <c r="H67" s="204">
        <f t="shared" si="5"/>
        <v>1.8551188047852694</v>
      </c>
      <c r="K67" s="200"/>
      <c r="L67" s="201"/>
      <c r="M67" s="80"/>
      <c r="N67" s="80"/>
      <c r="O67" s="12"/>
      <c r="P67" s="2"/>
      <c r="Q67" s="2"/>
      <c r="R67" s="80"/>
      <c r="S67" s="80"/>
      <c r="T67" s="80"/>
      <c r="U67" s="31"/>
    </row>
    <row r="68" spans="1:21" customFormat="1" ht="15">
      <c r="A68" s="170" t="s">
        <v>370</v>
      </c>
      <c r="B68" s="196">
        <v>116</v>
      </c>
      <c r="C68" s="196">
        <v>112</v>
      </c>
      <c r="D68" s="196"/>
      <c r="E68" s="196"/>
      <c r="F68" s="198">
        <f t="shared" si="3"/>
        <v>228</v>
      </c>
      <c r="G68" s="198">
        <f t="shared" si="4"/>
        <v>114</v>
      </c>
      <c r="H68" s="204">
        <f t="shared" si="5"/>
        <v>0.62848007056618338</v>
      </c>
      <c r="K68" s="200"/>
      <c r="L68" s="201"/>
      <c r="M68" s="80"/>
      <c r="N68" s="80"/>
      <c r="O68" s="12"/>
      <c r="P68" s="2"/>
      <c r="Q68" s="2"/>
      <c r="R68" s="80"/>
      <c r="S68" s="80"/>
      <c r="T68" s="80"/>
      <c r="U68" s="31"/>
    </row>
    <row r="69" spans="1:21" customFormat="1" ht="15">
      <c r="A69" s="170" t="s">
        <v>371</v>
      </c>
      <c r="B69" s="196">
        <v>148</v>
      </c>
      <c r="C69" s="196">
        <v>128</v>
      </c>
      <c r="D69" s="196"/>
      <c r="E69" s="196"/>
      <c r="F69" s="198">
        <f t="shared" ref="F69:F100" si="6">SUM(B69:E69)</f>
        <v>276</v>
      </c>
      <c r="G69" s="198">
        <f t="shared" si="4"/>
        <v>138</v>
      </c>
      <c r="H69" s="204">
        <f t="shared" si="5"/>
        <v>0.76079166436959045</v>
      </c>
      <c r="K69" s="200"/>
      <c r="L69" s="201"/>
      <c r="M69" s="80"/>
      <c r="N69" s="80"/>
      <c r="O69" s="12"/>
      <c r="P69" s="2"/>
      <c r="Q69" s="2"/>
      <c r="R69" s="80"/>
      <c r="S69" s="80"/>
      <c r="T69" s="80"/>
      <c r="U69" s="31"/>
    </row>
    <row r="70" spans="1:21" customFormat="1" ht="15">
      <c r="A70" s="170" t="s">
        <v>372</v>
      </c>
      <c r="B70" s="196">
        <v>76</v>
      </c>
      <c r="C70" s="196">
        <v>61</v>
      </c>
      <c r="D70" s="196"/>
      <c r="E70" s="196"/>
      <c r="F70" s="198">
        <f t="shared" si="6"/>
        <v>137</v>
      </c>
      <c r="G70" s="198">
        <f t="shared" si="4"/>
        <v>68.5</v>
      </c>
      <c r="H70" s="204">
        <f t="shared" si="5"/>
        <v>0.37763934064722421</v>
      </c>
      <c r="K70" s="200"/>
      <c r="L70" s="201"/>
      <c r="M70" s="80"/>
      <c r="N70" s="80"/>
      <c r="O70" s="12"/>
      <c r="P70" s="2"/>
      <c r="Q70" s="2"/>
      <c r="R70" s="80"/>
      <c r="S70" s="80"/>
      <c r="T70" s="80"/>
      <c r="U70" s="31"/>
    </row>
    <row r="71" spans="1:21" customFormat="1" ht="28.5" customHeight="1">
      <c r="A71" s="205" t="s">
        <v>8</v>
      </c>
      <c r="B71" s="206">
        <f>SUBTOTAL(109,Unidades_2025[1° trim 2025])</f>
        <v>19179</v>
      </c>
      <c r="C71" s="206">
        <f>SUBTOTAL(109,Unidades_2025[2° trim 2025])</f>
        <v>17099</v>
      </c>
      <c r="D71" s="206"/>
      <c r="E71" s="206"/>
      <c r="F71" s="207">
        <f>SUBTOTAL(109,Unidades_2025[Total])</f>
        <v>36278</v>
      </c>
      <c r="G71" s="207">
        <f>SUBTOTAL(109,Unidades_2025[Média])</f>
        <v>18139</v>
      </c>
      <c r="H71" s="208">
        <f>SUBTOTAL(109,Unidades_2025[% Total])</f>
        <v>100</v>
      </c>
      <c r="I71" s="5"/>
      <c r="J71" s="5"/>
      <c r="K71" s="5"/>
    </row>
    <row r="73" spans="1:21" ht="48" customHeight="1">
      <c r="A73" s="7"/>
    </row>
    <row r="74" spans="1:21" ht="43.5">
      <c r="A74" s="107" t="s">
        <v>317</v>
      </c>
      <c r="B74" s="69"/>
    </row>
    <row r="75" spans="1:21" ht="20.25" customHeight="1">
      <c r="A75" s="108" t="s">
        <v>63</v>
      </c>
      <c r="B75" s="69"/>
    </row>
    <row r="76" spans="1:21" ht="57" customHeight="1">
      <c r="A76" s="69"/>
      <c r="B76" s="69"/>
    </row>
    <row r="77" spans="1:21" ht="14.25" customHeight="1">
      <c r="A77" s="109" t="s">
        <v>373</v>
      </c>
      <c r="B77" s="68"/>
      <c r="C77" s="68"/>
      <c r="D77" s="68"/>
      <c r="E77" s="68"/>
    </row>
    <row r="78" spans="1:21" ht="14.25" customHeight="1">
      <c r="A78" s="68"/>
      <c r="B78" s="68"/>
      <c r="C78" s="68"/>
      <c r="D78" s="68"/>
      <c r="E78" s="68"/>
    </row>
    <row r="79" spans="1:21" ht="14.25" customHeight="1">
      <c r="A79" s="68"/>
      <c r="B79" s="68"/>
      <c r="C79" s="68"/>
      <c r="D79" s="68"/>
      <c r="E79" s="68"/>
    </row>
    <row r="80" spans="1:21" ht="14.25" customHeight="1">
      <c r="A80" s="68"/>
      <c r="B80" s="68"/>
      <c r="C80" s="68"/>
      <c r="D80" s="68"/>
      <c r="E80" s="68"/>
    </row>
    <row r="81" spans="1:5" ht="15">
      <c r="A81" s="68"/>
      <c r="B81" s="68"/>
      <c r="C81" s="68"/>
      <c r="D81" s="68"/>
      <c r="E81" s="68"/>
    </row>
  </sheetData>
  <hyperlinks>
    <hyperlink ref="A75" r:id="rId1" xr:uid="{00000000-0004-0000-0500-000000000000}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P48"/>
  <sheetViews>
    <sheetView showGridLines="0" zoomScale="90" zoomScaleNormal="90" workbookViewId="0">
      <selection activeCell="L3" sqref="L3"/>
    </sheetView>
  </sheetViews>
  <sheetFormatPr defaultColWidth="5.5703125" defaultRowHeight="20.100000000000001" customHeight="1"/>
  <cols>
    <col min="1" max="1" width="5.5703125" style="2"/>
    <col min="2" max="2" width="58.7109375" style="2" customWidth="1"/>
    <col min="3" max="3" width="11.28515625" style="2" customWidth="1"/>
    <col min="4" max="4" width="11.42578125" style="12" customWidth="1"/>
    <col min="5" max="5" width="11" style="2" customWidth="1"/>
    <col min="6" max="6" width="11.5703125" style="33" customWidth="1"/>
    <col min="7" max="7" width="8.28515625" style="2" customWidth="1"/>
    <col min="8" max="8" width="9.42578125" style="33" customWidth="1"/>
    <col min="9" max="9" width="17.28515625" style="2" customWidth="1"/>
    <col min="10" max="10" width="7.5703125" style="2" customWidth="1"/>
    <col min="11" max="11" width="7.140625" style="2" bestFit="1" customWidth="1"/>
    <col min="12" max="12" width="7.5703125" style="2" bestFit="1" customWidth="1"/>
    <col min="13" max="13" width="7.140625" style="2" bestFit="1" customWidth="1"/>
    <col min="14" max="14" width="6.85546875" style="2" customWidth="1"/>
    <col min="15" max="15" width="6.7109375" style="2" bestFit="1" customWidth="1"/>
    <col min="16" max="16" width="7.140625" style="2" bestFit="1" customWidth="1"/>
    <col min="17" max="17" width="15.85546875" style="2" bestFit="1" customWidth="1"/>
    <col min="18" max="216" width="9.140625" style="2" customWidth="1"/>
    <col min="217" max="217" width="58.28515625" style="2" customWidth="1"/>
    <col min="218" max="218" width="3.7109375" style="2" bestFit="1" customWidth="1"/>
    <col min="219" max="219" width="5.5703125" style="2" bestFit="1" customWidth="1"/>
    <col min="220" max="220" width="5.5703125" style="2" customWidth="1"/>
    <col min="221" max="16384" width="5.5703125" style="2"/>
  </cols>
  <sheetData>
    <row r="1" spans="2:20" ht="20.100000000000001" customHeight="1">
      <c r="B1" s="59" t="s">
        <v>0</v>
      </c>
      <c r="C1" s="59"/>
      <c r="D1" s="60"/>
      <c r="E1" s="59"/>
      <c r="H1" s="42"/>
      <c r="I1" s="58">
        <f>Subprefeituras_2025[[#Totals],[2° trim 2025]]</f>
        <v>3791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2:20" ht="20.100000000000001" customHeight="1">
      <c r="B2" s="1" t="s">
        <v>1</v>
      </c>
      <c r="C2" s="1"/>
      <c r="D2" s="13"/>
      <c r="E2" s="1"/>
      <c r="H2" s="42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2:20" ht="20.100000000000001" customHeight="1">
      <c r="B3" s="1"/>
      <c r="C3" s="1"/>
      <c r="D3" s="13"/>
      <c r="E3" s="1"/>
      <c r="H3" s="42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2:20" ht="20.100000000000001" customHeight="1">
      <c r="B4" s="1" t="s">
        <v>374</v>
      </c>
      <c r="C4" s="1"/>
      <c r="D4" s="13"/>
      <c r="E4" s="1"/>
      <c r="H4" s="42"/>
      <c r="I4" s="41"/>
      <c r="J4" s="41"/>
      <c r="K4" s="41"/>
      <c r="L4" s="41"/>
      <c r="M4" s="41"/>
      <c r="N4" s="41"/>
      <c r="O4" s="41"/>
      <c r="P4" s="41"/>
      <c r="R4" s="41"/>
      <c r="S4" s="41"/>
      <c r="T4" s="36"/>
    </row>
    <row r="5" spans="2:20" ht="20.100000000000001" customHeight="1">
      <c r="F5" s="2"/>
      <c r="G5" s="33"/>
      <c r="H5" s="41"/>
      <c r="I5" s="42"/>
      <c r="J5" s="41"/>
      <c r="K5" s="41"/>
      <c r="L5" s="41"/>
      <c r="M5" s="41"/>
      <c r="N5" s="41"/>
      <c r="O5" s="41"/>
      <c r="P5" s="41"/>
      <c r="Q5" s="41"/>
      <c r="R5" s="41"/>
      <c r="S5" s="41"/>
      <c r="T5" s="36"/>
    </row>
    <row r="6" spans="2:20" ht="72" customHeight="1">
      <c r="B6" s="81" t="s">
        <v>375</v>
      </c>
      <c r="C6" s="15" t="s">
        <v>27</v>
      </c>
      <c r="D6" s="15" t="s">
        <v>28</v>
      </c>
      <c r="E6" s="15" t="s">
        <v>29</v>
      </c>
      <c r="F6" s="15" t="s">
        <v>30</v>
      </c>
      <c r="G6" s="14" t="s">
        <v>8</v>
      </c>
      <c r="H6" s="14" t="s">
        <v>9</v>
      </c>
      <c r="I6" s="104" t="s">
        <v>376</v>
      </c>
    </row>
    <row r="7" spans="2:20" ht="20.100000000000001" customHeight="1">
      <c r="B7" s="67" t="s">
        <v>377</v>
      </c>
      <c r="C7" s="5">
        <v>288</v>
      </c>
      <c r="D7" s="5">
        <v>385</v>
      </c>
      <c r="E7" s="5"/>
      <c r="F7" s="5"/>
      <c r="G7" s="6">
        <f t="shared" ref="G7:G16" si="0">SUM(C7:F7)</f>
        <v>673</v>
      </c>
      <c r="H7" s="62">
        <f t="shared" ref="H7:H17" si="1">AVERAGE(C7:F7)</f>
        <v>336.5</v>
      </c>
      <c r="I7" s="11">
        <f t="shared" ref="I7:I17" si="2">(D7*100)/$I$1</f>
        <v>10.15563175943023</v>
      </c>
      <c r="L7" s="33"/>
      <c r="M7" s="33"/>
    </row>
    <row r="8" spans="2:20" ht="20.100000000000001" customHeight="1">
      <c r="B8" s="67" t="s">
        <v>378</v>
      </c>
      <c r="C8" s="5">
        <v>230</v>
      </c>
      <c r="D8" s="5">
        <v>282</v>
      </c>
      <c r="E8" s="5"/>
      <c r="F8" s="5"/>
      <c r="G8" s="6">
        <f t="shared" si="0"/>
        <v>512</v>
      </c>
      <c r="H8" s="62">
        <f t="shared" si="1"/>
        <v>256</v>
      </c>
      <c r="I8" s="11">
        <f t="shared" si="2"/>
        <v>7.4386705354787654</v>
      </c>
      <c r="L8" s="33"/>
      <c r="M8" s="33"/>
    </row>
    <row r="9" spans="2:20" ht="20.100000000000001" customHeight="1">
      <c r="B9" s="67" t="s">
        <v>379</v>
      </c>
      <c r="C9" s="5">
        <v>193</v>
      </c>
      <c r="D9" s="5">
        <v>224</v>
      </c>
      <c r="E9" s="5"/>
      <c r="F9" s="5"/>
      <c r="G9" s="6">
        <f t="shared" si="0"/>
        <v>417</v>
      </c>
      <c r="H9" s="62">
        <f t="shared" si="1"/>
        <v>208.5</v>
      </c>
      <c r="I9" s="11">
        <f t="shared" si="2"/>
        <v>5.9087312054866787</v>
      </c>
      <c r="L9" s="33"/>
      <c r="M9" s="33"/>
    </row>
    <row r="10" spans="2:20" ht="20.100000000000001" customHeight="1">
      <c r="B10" s="67" t="s">
        <v>380</v>
      </c>
      <c r="C10" s="5">
        <v>222</v>
      </c>
      <c r="D10" s="5">
        <v>187</v>
      </c>
      <c r="E10" s="5"/>
      <c r="F10" s="5"/>
      <c r="G10" s="6">
        <f t="shared" si="0"/>
        <v>409</v>
      </c>
      <c r="H10" s="62">
        <f t="shared" si="1"/>
        <v>204.5</v>
      </c>
      <c r="I10" s="11">
        <f t="shared" si="2"/>
        <v>4.9327354260089686</v>
      </c>
      <c r="L10" s="33"/>
      <c r="M10" s="33"/>
    </row>
    <row r="11" spans="2:20" ht="20.100000000000001" customHeight="1">
      <c r="B11" s="67" t="s">
        <v>381</v>
      </c>
      <c r="C11" s="5">
        <v>213</v>
      </c>
      <c r="D11" s="5">
        <v>192</v>
      </c>
      <c r="E11" s="5"/>
      <c r="F11" s="5"/>
      <c r="G11" s="6">
        <f t="shared" si="0"/>
        <v>405</v>
      </c>
      <c r="H11" s="62">
        <f t="shared" si="1"/>
        <v>202.5</v>
      </c>
      <c r="I11" s="11">
        <f t="shared" si="2"/>
        <v>5.0646267475600109</v>
      </c>
      <c r="L11" s="33"/>
      <c r="M11" s="33"/>
    </row>
    <row r="12" spans="2:20" ht="20.100000000000001" customHeight="1">
      <c r="B12" s="67" t="s">
        <v>382</v>
      </c>
      <c r="C12" s="5">
        <v>192</v>
      </c>
      <c r="D12" s="5">
        <v>165</v>
      </c>
      <c r="E12" s="5"/>
      <c r="F12" s="5"/>
      <c r="G12" s="6">
        <f t="shared" si="0"/>
        <v>357</v>
      </c>
      <c r="H12" s="62">
        <f t="shared" si="1"/>
        <v>178.5</v>
      </c>
      <c r="I12" s="11">
        <f t="shared" si="2"/>
        <v>4.3524136111843843</v>
      </c>
      <c r="L12" s="33"/>
      <c r="M12" s="33"/>
    </row>
    <row r="13" spans="2:20" ht="20.100000000000001" customHeight="1">
      <c r="B13" s="67" t="s">
        <v>383</v>
      </c>
      <c r="C13" s="5">
        <v>168</v>
      </c>
      <c r="D13" s="5">
        <v>177</v>
      </c>
      <c r="E13" s="5"/>
      <c r="F13" s="5"/>
      <c r="G13" s="6">
        <f t="shared" si="0"/>
        <v>345</v>
      </c>
      <c r="H13" s="62">
        <f t="shared" si="1"/>
        <v>172.5</v>
      </c>
      <c r="I13" s="11">
        <f t="shared" si="2"/>
        <v>4.6689527829068851</v>
      </c>
      <c r="L13" s="33"/>
      <c r="M13" s="33"/>
    </row>
    <row r="14" spans="2:20" ht="20.100000000000001" customHeight="1">
      <c r="B14" s="67" t="s">
        <v>384</v>
      </c>
      <c r="C14" s="5">
        <v>142</v>
      </c>
      <c r="D14" s="5">
        <v>185</v>
      </c>
      <c r="E14" s="5"/>
      <c r="F14" s="5"/>
      <c r="G14" s="6">
        <f t="shared" si="0"/>
        <v>327</v>
      </c>
      <c r="H14" s="62">
        <f t="shared" si="1"/>
        <v>163.5</v>
      </c>
      <c r="I14" s="11">
        <f t="shared" si="2"/>
        <v>4.8799788973885514</v>
      </c>
      <c r="L14" s="33"/>
      <c r="M14" s="33"/>
    </row>
    <row r="15" spans="2:20" ht="20.100000000000001" customHeight="1">
      <c r="B15" s="67" t="s">
        <v>385</v>
      </c>
      <c r="C15" s="5">
        <v>179</v>
      </c>
      <c r="D15" s="5">
        <v>144</v>
      </c>
      <c r="E15" s="5"/>
      <c r="F15" s="5"/>
      <c r="G15" s="6">
        <f t="shared" si="0"/>
        <v>323</v>
      </c>
      <c r="H15" s="62">
        <f t="shared" si="1"/>
        <v>161.5</v>
      </c>
      <c r="I15" s="11">
        <f t="shared" si="2"/>
        <v>3.7984700606700077</v>
      </c>
      <c r="L15" s="33"/>
      <c r="M15" s="33"/>
    </row>
    <row r="16" spans="2:20" ht="20.100000000000001" customHeight="1">
      <c r="B16" s="67" t="s">
        <v>386</v>
      </c>
      <c r="C16" s="5">
        <v>165</v>
      </c>
      <c r="D16" s="5">
        <v>156</v>
      </c>
      <c r="E16" s="5"/>
      <c r="F16" s="5"/>
      <c r="G16" s="6">
        <f t="shared" si="0"/>
        <v>321</v>
      </c>
      <c r="H16" s="62">
        <f t="shared" si="1"/>
        <v>160.5</v>
      </c>
      <c r="I16" s="11">
        <f t="shared" si="2"/>
        <v>4.1150092323925085</v>
      </c>
      <c r="L16" s="33"/>
      <c r="M16" s="33"/>
    </row>
    <row r="17" spans="2:42" ht="20.100000000000001" customHeight="1">
      <c r="B17" s="106" t="s">
        <v>387</v>
      </c>
      <c r="C17" s="98">
        <f>SUM(C7:C16)</f>
        <v>1992</v>
      </c>
      <c r="D17" s="98">
        <f>SUM(D7:D16)</f>
        <v>2097</v>
      </c>
      <c r="E17" s="98"/>
      <c r="F17" s="98"/>
      <c r="G17" s="99">
        <f>SUM(G7:G16)</f>
        <v>4089</v>
      </c>
      <c r="H17" s="99">
        <f t="shared" si="1"/>
        <v>2044.5</v>
      </c>
      <c r="I17" s="87">
        <f t="shared" si="2"/>
        <v>55.31522025850699</v>
      </c>
      <c r="L17" s="33"/>
      <c r="M17" s="33"/>
    </row>
    <row r="18" spans="2:42" s="32" customFormat="1" ht="20.100000000000001" customHeight="1">
      <c r="B18" s="82" t="s">
        <v>388</v>
      </c>
      <c r="D18" s="57"/>
      <c r="H18" s="57" t="s">
        <v>59</v>
      </c>
      <c r="I18" s="83">
        <f>100-I17</f>
        <v>44.68477974149301</v>
      </c>
      <c r="J18" s="36"/>
      <c r="K18" s="36"/>
      <c r="L18" s="36"/>
      <c r="M18" s="36"/>
      <c r="N18" s="36"/>
      <c r="O18" s="36"/>
    </row>
    <row r="19" spans="2:42" ht="20.100000000000001" customHeight="1">
      <c r="B19" s="32"/>
      <c r="C19" s="32"/>
      <c r="D19" s="57"/>
      <c r="E19" s="32"/>
      <c r="F19" s="32"/>
      <c r="G19" s="32"/>
      <c r="H19" s="72"/>
      <c r="I19" s="96"/>
      <c r="J19" s="32"/>
      <c r="K19" s="32"/>
      <c r="L19" s="32"/>
      <c r="M19" s="32"/>
      <c r="N19" s="32"/>
      <c r="O19" s="224"/>
      <c r="P19" s="224"/>
      <c r="Q19" s="224"/>
      <c r="R19" s="32"/>
      <c r="S19" s="32"/>
      <c r="T19" s="32"/>
      <c r="U19" s="32"/>
      <c r="V19" s="32"/>
      <c r="W19" s="32"/>
      <c r="X19" s="58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2:42" ht="20.100000000000001" customHeight="1">
      <c r="B20" s="77"/>
      <c r="C20" s="77"/>
      <c r="D20" s="76"/>
      <c r="E20" s="224"/>
      <c r="F20" s="224"/>
      <c r="G20" s="224"/>
      <c r="H20" s="224"/>
      <c r="I20" s="224"/>
      <c r="J20" s="32"/>
      <c r="K20" s="32"/>
      <c r="L20" s="32"/>
      <c r="M20" s="32"/>
      <c r="N20" s="32"/>
      <c r="O20" s="32"/>
      <c r="P20" s="58"/>
      <c r="Q20" s="32"/>
      <c r="R20" s="32"/>
      <c r="S20" s="32"/>
      <c r="T20" s="32"/>
      <c r="U20" s="32"/>
      <c r="V20" s="32"/>
      <c r="W20" s="32"/>
      <c r="X20" s="58"/>
      <c r="Y20" s="32"/>
      <c r="Z20" s="32"/>
      <c r="AA20" s="32"/>
      <c r="AB20" s="32"/>
      <c r="AC20" s="32"/>
      <c r="AD20" s="75"/>
      <c r="AE20" s="74"/>
      <c r="AF20" s="74"/>
      <c r="AG20" s="74"/>
      <c r="AH20" s="74"/>
      <c r="AI20" s="5"/>
      <c r="AJ20" s="5"/>
      <c r="AK20" s="12"/>
      <c r="AL20" s="5"/>
      <c r="AM20" s="5"/>
      <c r="AN20" s="5"/>
      <c r="AO20" s="5"/>
      <c r="AP20" s="6"/>
    </row>
    <row r="21" spans="2:42" ht="20.100000000000001" customHeight="1">
      <c r="B21" s="90" t="s">
        <v>389</v>
      </c>
      <c r="C21" s="91" t="s">
        <v>390</v>
      </c>
      <c r="D21" s="136"/>
      <c r="E21" s="32"/>
      <c r="F21" s="58"/>
      <c r="G21" s="32"/>
      <c r="H21" s="32"/>
      <c r="I21" s="32"/>
      <c r="J21" s="32"/>
      <c r="K21" s="32"/>
      <c r="L21" s="32"/>
      <c r="M21" s="79"/>
      <c r="N21" s="32"/>
      <c r="O21" s="224"/>
      <c r="P21" s="224"/>
      <c r="Q21" s="224"/>
      <c r="R21" s="32"/>
      <c r="S21" s="32"/>
      <c r="T21" s="32"/>
      <c r="U21" s="32"/>
      <c r="V21" s="32"/>
      <c r="W21" s="32"/>
      <c r="X21" s="58"/>
      <c r="Y21" s="32"/>
      <c r="Z21" s="32"/>
      <c r="AA21" s="32"/>
      <c r="AB21" s="32"/>
      <c r="AC21" s="32"/>
      <c r="AD21" s="75"/>
      <c r="AE21" s="74"/>
      <c r="AF21" s="74"/>
      <c r="AG21" s="74"/>
      <c r="AH21" s="74"/>
      <c r="AI21" s="5"/>
      <c r="AJ21" s="5"/>
      <c r="AK21" s="12"/>
      <c r="AL21" s="5"/>
      <c r="AM21" s="5"/>
      <c r="AN21" s="5"/>
      <c r="AO21" s="5"/>
      <c r="AP21" s="6"/>
    </row>
    <row r="22" spans="2:42" ht="20.100000000000001" customHeight="1">
      <c r="B22" s="77" t="s">
        <v>385</v>
      </c>
      <c r="C22" s="94">
        <v>3.7984700606700077</v>
      </c>
      <c r="D22" s="48"/>
      <c r="E22" s="32"/>
      <c r="F22" s="58"/>
      <c r="G22" s="32"/>
      <c r="H22" s="32"/>
      <c r="I22" s="32"/>
      <c r="J22" s="32"/>
      <c r="K22" s="32"/>
      <c r="L22" s="32"/>
      <c r="M22" s="32"/>
      <c r="N22" s="32"/>
      <c r="O22" s="32"/>
      <c r="P22" s="58"/>
      <c r="Q22" s="32"/>
      <c r="R22" s="32"/>
      <c r="S22" s="32"/>
      <c r="T22" s="32"/>
      <c r="U22" s="32"/>
      <c r="V22" s="32"/>
      <c r="W22" s="32"/>
      <c r="X22" s="78"/>
      <c r="Y22" s="32"/>
      <c r="Z22" s="32"/>
      <c r="AA22" s="32"/>
      <c r="AB22" s="32"/>
      <c r="AC22" s="32"/>
      <c r="AD22" s="75"/>
      <c r="AE22" s="74"/>
      <c r="AF22" s="74"/>
      <c r="AG22" s="74"/>
      <c r="AH22" s="74"/>
      <c r="AI22" s="5"/>
      <c r="AJ22" s="5"/>
      <c r="AK22" s="12"/>
      <c r="AL22" s="5"/>
      <c r="AM22" s="5"/>
      <c r="AN22" s="5"/>
      <c r="AO22" s="5"/>
      <c r="AP22" s="6"/>
    </row>
    <row r="23" spans="2:42" ht="20.100000000000001" customHeight="1">
      <c r="B23" s="77" t="s">
        <v>386</v>
      </c>
      <c r="C23" s="94">
        <v>4.1150092323925085</v>
      </c>
      <c r="D23" s="48"/>
      <c r="E23" s="224"/>
      <c r="F23" s="224"/>
      <c r="G23" s="224"/>
      <c r="H23" s="224"/>
      <c r="I23" s="224"/>
      <c r="J23" s="32"/>
      <c r="K23" s="32"/>
      <c r="L23" s="32"/>
      <c r="M23" s="32"/>
      <c r="N23" s="32"/>
      <c r="R23" s="32"/>
      <c r="S23" s="32"/>
      <c r="T23" s="32"/>
      <c r="U23" s="32"/>
      <c r="V23" s="32"/>
      <c r="W23" s="32"/>
      <c r="X23" s="58"/>
      <c r="Y23" s="32"/>
      <c r="Z23" s="32"/>
      <c r="AA23" s="32"/>
      <c r="AB23" s="32"/>
      <c r="AC23" s="32"/>
      <c r="AD23" s="75"/>
      <c r="AE23" s="74"/>
      <c r="AF23" s="74"/>
      <c r="AG23" s="74"/>
      <c r="AH23" s="74"/>
      <c r="AI23" s="5"/>
      <c r="AJ23" s="5"/>
      <c r="AK23" s="12"/>
      <c r="AL23" s="5"/>
      <c r="AM23" s="5"/>
      <c r="AN23" s="5"/>
      <c r="AO23" s="5"/>
      <c r="AP23" s="6"/>
    </row>
    <row r="24" spans="2:42" ht="20.100000000000001" customHeight="1">
      <c r="B24" s="77" t="s">
        <v>382</v>
      </c>
      <c r="C24" s="94">
        <v>4.3524136111843843</v>
      </c>
      <c r="D24" s="48"/>
      <c r="E24" s="32"/>
      <c r="F24" s="58"/>
      <c r="G24" s="32"/>
      <c r="H24" s="32"/>
      <c r="I24" s="32"/>
      <c r="J24" s="32"/>
      <c r="K24" s="32"/>
      <c r="L24" s="32"/>
      <c r="M24" s="32"/>
      <c r="N24" s="32"/>
      <c r="O24" s="224"/>
      <c r="P24" s="224"/>
      <c r="Q24" s="224"/>
      <c r="R24" s="32"/>
      <c r="S24" s="32"/>
      <c r="T24" s="32"/>
      <c r="U24" s="32"/>
      <c r="V24" s="32"/>
      <c r="W24" s="32"/>
      <c r="X24" s="58"/>
      <c r="Y24" s="32"/>
      <c r="Z24" s="32"/>
      <c r="AA24" s="32"/>
      <c r="AB24" s="32"/>
      <c r="AC24" s="32"/>
      <c r="AD24" s="75"/>
      <c r="AE24" s="74"/>
      <c r="AF24" s="74"/>
      <c r="AG24" s="74"/>
      <c r="AH24" s="74"/>
      <c r="AI24" s="5"/>
      <c r="AJ24" s="5"/>
      <c r="AK24" s="12"/>
      <c r="AL24" s="5"/>
      <c r="AM24" s="5"/>
      <c r="AN24" s="5"/>
      <c r="AO24" s="5"/>
      <c r="AP24" s="6"/>
    </row>
    <row r="25" spans="2:42" ht="20.100000000000001" customHeight="1">
      <c r="B25" s="71" t="s">
        <v>383</v>
      </c>
      <c r="C25" s="95">
        <v>4.6689527829068851</v>
      </c>
      <c r="D25" s="48"/>
      <c r="E25" s="32"/>
      <c r="F25" s="58"/>
      <c r="G25" s="32"/>
      <c r="H25" s="32"/>
      <c r="I25" s="32"/>
      <c r="J25" s="32"/>
      <c r="K25" s="32"/>
      <c r="L25" s="32"/>
      <c r="M25" s="32"/>
      <c r="N25" s="32"/>
      <c r="O25" s="10"/>
      <c r="P25" s="10"/>
      <c r="Q25" s="10"/>
      <c r="R25" s="32"/>
      <c r="S25" s="32"/>
      <c r="T25" s="32"/>
      <c r="U25" s="32"/>
      <c r="V25" s="32"/>
      <c r="W25" s="32"/>
      <c r="X25" s="58"/>
      <c r="Y25" s="32"/>
      <c r="Z25" s="32"/>
      <c r="AA25" s="32"/>
      <c r="AB25" s="32"/>
      <c r="AC25" s="32"/>
      <c r="AD25" s="75"/>
      <c r="AE25" s="74"/>
      <c r="AF25" s="74"/>
      <c r="AG25" s="74"/>
      <c r="AH25" s="74"/>
      <c r="AI25" s="5"/>
      <c r="AJ25" s="5"/>
      <c r="AK25" s="12"/>
      <c r="AL25" s="5"/>
      <c r="AM25" s="5"/>
      <c r="AN25" s="5"/>
      <c r="AO25" s="5"/>
      <c r="AP25" s="6"/>
    </row>
    <row r="26" spans="2:42" ht="20.100000000000001" customHeight="1">
      <c r="B26" s="77" t="s">
        <v>384</v>
      </c>
      <c r="C26" s="94">
        <v>4.8799788973885514</v>
      </c>
      <c r="D26" s="48"/>
      <c r="E26" s="32"/>
      <c r="F26" s="58"/>
      <c r="G26" s="32"/>
      <c r="H26" s="58"/>
      <c r="I26" s="32"/>
      <c r="J26" s="32"/>
      <c r="K26" s="32"/>
      <c r="L26" s="32"/>
      <c r="M26" s="32"/>
      <c r="N26" s="32"/>
      <c r="O26" s="10"/>
      <c r="P26" s="10"/>
      <c r="Q26" s="10"/>
      <c r="R26" s="32"/>
      <c r="S26" s="32"/>
      <c r="T26" s="32"/>
      <c r="U26" s="32"/>
      <c r="V26" s="32"/>
      <c r="W26" s="32"/>
      <c r="X26" s="58"/>
      <c r="Y26" s="32"/>
      <c r="Z26" s="32"/>
      <c r="AA26" s="32"/>
      <c r="AB26" s="32"/>
      <c r="AC26" s="32"/>
      <c r="AD26" s="75"/>
      <c r="AE26" s="74"/>
      <c r="AF26" s="74"/>
      <c r="AG26" s="74"/>
      <c r="AH26" s="74"/>
      <c r="AI26" s="5"/>
      <c r="AJ26" s="5"/>
      <c r="AK26" s="12"/>
      <c r="AL26" s="5"/>
      <c r="AM26" s="5"/>
      <c r="AN26" s="5"/>
      <c r="AO26" s="5"/>
      <c r="AP26" s="6"/>
    </row>
    <row r="27" spans="2:42" ht="20.100000000000001" customHeight="1">
      <c r="B27" s="32" t="s">
        <v>380</v>
      </c>
      <c r="C27" s="93">
        <v>4.9327354260089686</v>
      </c>
      <c r="D27" s="48"/>
      <c r="E27" s="105"/>
      <c r="F27" s="105"/>
      <c r="G27" s="105"/>
      <c r="H27" s="105"/>
      <c r="I27" s="105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58"/>
      <c r="Y27" s="32"/>
      <c r="Z27" s="32"/>
      <c r="AA27" s="32"/>
      <c r="AB27" s="32"/>
      <c r="AC27" s="32"/>
      <c r="AD27" s="75"/>
      <c r="AE27" s="74"/>
      <c r="AF27" s="74"/>
      <c r="AG27" s="74"/>
      <c r="AH27" s="74"/>
      <c r="AI27" s="5"/>
      <c r="AJ27" s="5"/>
      <c r="AK27" s="12"/>
      <c r="AL27" s="5"/>
      <c r="AM27" s="5"/>
      <c r="AN27" s="5"/>
      <c r="AO27" s="5"/>
      <c r="AP27" s="6"/>
    </row>
    <row r="28" spans="2:42" ht="20.100000000000001" customHeight="1">
      <c r="B28" s="32" t="s">
        <v>381</v>
      </c>
      <c r="C28" s="92">
        <v>5.0646267475600109</v>
      </c>
      <c r="D28" s="48"/>
      <c r="E28" s="32"/>
      <c r="F28" s="58"/>
      <c r="G28" s="32"/>
      <c r="H28" s="58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58"/>
      <c r="Y28" s="32"/>
      <c r="Z28" s="32"/>
      <c r="AA28" s="32"/>
      <c r="AB28" s="32"/>
      <c r="AC28" s="32"/>
      <c r="AD28" s="75"/>
      <c r="AE28" s="74"/>
      <c r="AF28" s="74"/>
      <c r="AG28" s="74"/>
      <c r="AH28" s="74"/>
      <c r="AI28" s="5"/>
      <c r="AJ28" s="5"/>
      <c r="AK28" s="12"/>
      <c r="AL28" s="5"/>
      <c r="AM28" s="5"/>
      <c r="AN28" s="5"/>
      <c r="AO28" s="5"/>
      <c r="AP28" s="6"/>
    </row>
    <row r="29" spans="2:42" ht="20.100000000000001" customHeight="1">
      <c r="B29" s="32" t="s">
        <v>379</v>
      </c>
      <c r="C29" s="92">
        <v>5.9087312054866787</v>
      </c>
      <c r="D29" s="48"/>
      <c r="E29" s="32"/>
      <c r="F29" s="58"/>
      <c r="G29" s="32"/>
      <c r="H29" s="58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75"/>
      <c r="AE29" s="74"/>
      <c r="AF29" s="74"/>
      <c r="AG29" s="74"/>
      <c r="AH29" s="74"/>
      <c r="AI29" s="5"/>
      <c r="AJ29" s="5"/>
      <c r="AK29" s="12"/>
      <c r="AL29" s="5"/>
      <c r="AM29" s="5"/>
      <c r="AN29" s="5"/>
      <c r="AO29" s="5"/>
      <c r="AP29" s="6"/>
    </row>
    <row r="30" spans="2:42" ht="20.100000000000001" customHeight="1">
      <c r="B30" s="32" t="s">
        <v>378</v>
      </c>
      <c r="C30" s="92">
        <v>7.4386705354787654</v>
      </c>
      <c r="D30" s="48"/>
      <c r="E30" s="32"/>
      <c r="F30" s="58"/>
      <c r="G30" s="32"/>
      <c r="H30" s="58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75"/>
      <c r="T30" s="74"/>
      <c r="U30" s="73"/>
      <c r="V30" s="73"/>
      <c r="W30" s="73"/>
      <c r="X30" s="25"/>
      <c r="Y30" s="32"/>
      <c r="Z30" s="32"/>
      <c r="AA30" s="32"/>
      <c r="AB30" s="32"/>
      <c r="AC30" s="32"/>
      <c r="AD30" s="75"/>
      <c r="AE30" s="74"/>
      <c r="AF30" s="74"/>
      <c r="AG30" s="74"/>
      <c r="AH30" s="74"/>
      <c r="AI30" s="5"/>
      <c r="AJ30" s="5"/>
      <c r="AK30" s="12"/>
      <c r="AL30" s="5"/>
      <c r="AM30" s="5"/>
      <c r="AN30" s="5"/>
      <c r="AO30" s="5"/>
      <c r="AP30" s="6"/>
    </row>
    <row r="31" spans="2:42" ht="20.100000000000001" customHeight="1">
      <c r="B31" s="32" t="s">
        <v>377</v>
      </c>
      <c r="C31" s="92">
        <v>10.15563175943023</v>
      </c>
      <c r="D31" s="48"/>
      <c r="E31" s="32"/>
      <c r="F31" s="58"/>
      <c r="G31" s="32"/>
      <c r="H31" s="58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75"/>
      <c r="T31" s="74"/>
      <c r="U31" s="73"/>
      <c r="V31" s="73"/>
      <c r="W31" s="73"/>
      <c r="X31" s="25"/>
      <c r="Y31" s="32"/>
      <c r="Z31" s="32"/>
      <c r="AA31" s="32"/>
      <c r="AB31" s="32"/>
      <c r="AC31" s="32"/>
      <c r="AD31" s="75"/>
      <c r="AE31" s="74"/>
      <c r="AF31" s="74"/>
      <c r="AG31" s="74"/>
      <c r="AH31" s="74"/>
      <c r="AI31" s="5"/>
      <c r="AJ31" s="5"/>
      <c r="AK31" s="12"/>
      <c r="AL31" s="5"/>
      <c r="AM31" s="5"/>
      <c r="AN31" s="5"/>
      <c r="AO31" s="5"/>
      <c r="AP31" s="6"/>
    </row>
    <row r="32" spans="2:42" ht="20.100000000000001" customHeight="1">
      <c r="B32" s="32"/>
      <c r="C32" s="32"/>
      <c r="D32" s="48"/>
      <c r="E32" s="32"/>
      <c r="F32" s="58"/>
      <c r="G32" s="32"/>
      <c r="H32" s="58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75"/>
      <c r="T32" s="74"/>
      <c r="U32" s="73"/>
      <c r="V32" s="73"/>
      <c r="W32" s="73"/>
      <c r="X32" s="25"/>
      <c r="Y32" s="32"/>
      <c r="Z32" s="32"/>
      <c r="AA32" s="32"/>
      <c r="AB32" s="32"/>
      <c r="AC32" s="32"/>
      <c r="AD32" s="75"/>
      <c r="AE32" s="74"/>
      <c r="AF32" s="74"/>
      <c r="AG32" s="74"/>
      <c r="AH32" s="74"/>
      <c r="AI32" s="5"/>
      <c r="AJ32" s="5"/>
      <c r="AK32" s="12"/>
      <c r="AL32" s="5"/>
      <c r="AM32" s="5"/>
      <c r="AN32" s="5"/>
      <c r="AO32" s="5"/>
      <c r="AP32" s="6"/>
    </row>
    <row r="33" spans="2:42" ht="20.100000000000001" customHeight="1">
      <c r="B33" s="36"/>
      <c r="C33" s="36"/>
      <c r="D33" s="38"/>
      <c r="E33" s="36"/>
      <c r="F33" s="37"/>
      <c r="G33" s="36"/>
      <c r="H33" s="37"/>
      <c r="I33" s="36"/>
      <c r="J33" s="32"/>
      <c r="K33" s="32"/>
      <c r="L33" s="32"/>
      <c r="M33" s="32"/>
      <c r="N33" s="32"/>
      <c r="O33" s="32"/>
      <c r="P33" s="32"/>
      <c r="Q33" s="32"/>
      <c r="R33" s="32"/>
      <c r="S33" s="75"/>
      <c r="T33" s="74"/>
      <c r="U33" s="73"/>
      <c r="V33" s="73"/>
      <c r="W33" s="73"/>
      <c r="X33" s="25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P33" s="33"/>
    </row>
    <row r="34" spans="2:42" ht="20.100000000000001" customHeight="1">
      <c r="B34" s="36"/>
      <c r="C34" s="36"/>
      <c r="D34" s="38"/>
      <c r="E34" s="36"/>
      <c r="F34" s="37"/>
      <c r="G34" s="36"/>
      <c r="H34" s="37"/>
      <c r="I34" s="36"/>
      <c r="J34" s="32"/>
      <c r="K34" s="32"/>
      <c r="L34" s="32"/>
      <c r="M34" s="32"/>
      <c r="N34" s="32"/>
      <c r="O34" s="32"/>
      <c r="P34" s="32"/>
      <c r="Q34" s="32"/>
      <c r="R34" s="32"/>
      <c r="S34" s="75"/>
      <c r="T34" s="74"/>
      <c r="U34" s="73"/>
      <c r="V34" s="73"/>
      <c r="W34" s="73"/>
      <c r="X34" s="25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42" ht="20.100000000000001" customHeight="1">
      <c r="B35" s="36"/>
      <c r="C35" s="36"/>
      <c r="D35" s="38"/>
      <c r="E35" s="36"/>
      <c r="F35" s="37"/>
      <c r="G35" s="36"/>
      <c r="H35" s="37"/>
      <c r="I35" s="36"/>
      <c r="J35" s="32"/>
      <c r="K35" s="32"/>
      <c r="L35" s="32"/>
      <c r="M35" s="32"/>
      <c r="N35" s="32"/>
      <c r="O35" s="32"/>
      <c r="P35" s="32"/>
      <c r="Q35" s="32"/>
      <c r="R35" s="32"/>
      <c r="S35" s="75"/>
      <c r="T35" s="74"/>
      <c r="U35" s="73"/>
      <c r="V35" s="73"/>
      <c r="W35" s="73"/>
      <c r="X35" s="25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42" ht="20.100000000000001" customHeight="1">
      <c r="B36" s="36"/>
      <c r="C36" s="36"/>
      <c r="D36" s="38"/>
      <c r="E36" s="36"/>
      <c r="F36" s="37"/>
      <c r="G36" s="36"/>
      <c r="H36" s="37"/>
      <c r="I36" s="36"/>
      <c r="J36" s="32"/>
      <c r="K36" s="32"/>
      <c r="L36" s="32"/>
      <c r="M36" s="32"/>
      <c r="N36" s="32"/>
      <c r="O36" s="32"/>
      <c r="P36" s="32"/>
      <c r="Q36" s="32"/>
      <c r="R36" s="32"/>
      <c r="S36" s="75"/>
      <c r="T36" s="74"/>
      <c r="U36" s="73"/>
      <c r="V36" s="73"/>
      <c r="W36" s="73"/>
      <c r="X36" s="25"/>
      <c r="Y36" s="32"/>
      <c r="Z36" s="32"/>
      <c r="AA36" s="32"/>
      <c r="AB36" s="32"/>
      <c r="AC36" s="32"/>
      <c r="AD36" s="32"/>
      <c r="AE36" s="32"/>
      <c r="AF36" s="32"/>
      <c r="AG36" s="32"/>
      <c r="AH36" s="32"/>
    </row>
    <row r="37" spans="2:42" ht="20.100000000000001" customHeight="1">
      <c r="B37" s="41"/>
      <c r="C37" s="32"/>
      <c r="D37" s="57"/>
      <c r="E37" s="32"/>
      <c r="F37" s="58"/>
      <c r="G37" s="32"/>
      <c r="H37" s="58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75"/>
      <c r="T37" s="74"/>
      <c r="U37" s="73"/>
      <c r="V37" s="73"/>
      <c r="W37" s="73"/>
      <c r="X37" s="25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42" ht="59.25" customHeight="1">
      <c r="B38" s="107" t="s">
        <v>317</v>
      </c>
      <c r="C38" s="32"/>
      <c r="D38" s="57"/>
      <c r="E38" s="32"/>
      <c r="F38" s="58"/>
      <c r="G38" s="32"/>
      <c r="H38" s="58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75"/>
      <c r="T38" s="74"/>
      <c r="U38" s="73"/>
      <c r="V38" s="73"/>
      <c r="W38" s="73"/>
      <c r="X38" s="25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spans="2:42" ht="20.100000000000001" customHeight="1">
      <c r="B39" s="108" t="s">
        <v>63</v>
      </c>
      <c r="C39" s="32"/>
      <c r="D39" s="57"/>
      <c r="E39" s="32"/>
      <c r="F39" s="58"/>
      <c r="G39" s="32"/>
      <c r="H39" s="58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75"/>
      <c r="T39" s="74"/>
      <c r="U39" s="73"/>
      <c r="V39" s="73"/>
      <c r="W39" s="73"/>
      <c r="X39" s="25"/>
      <c r="Y39" s="32"/>
      <c r="Z39" s="32"/>
      <c r="AA39" s="32"/>
      <c r="AB39" s="32"/>
      <c r="AC39" s="32"/>
      <c r="AD39" s="32"/>
      <c r="AE39" s="32"/>
      <c r="AF39" s="32"/>
      <c r="AG39" s="32"/>
      <c r="AH39" s="32"/>
    </row>
    <row r="40" spans="2:42" ht="20.100000000000001" customHeight="1">
      <c r="B40" s="41"/>
      <c r="C40" s="32"/>
      <c r="D40" s="57"/>
      <c r="E40" s="32"/>
      <c r="F40" s="58"/>
      <c r="G40" s="32"/>
      <c r="H40" s="58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</row>
    <row r="41" spans="2:42" ht="20.100000000000001" customHeight="1">
      <c r="B41" s="41"/>
      <c r="C41" s="32"/>
      <c r="D41" s="57"/>
      <c r="E41" s="32"/>
      <c r="F41" s="58"/>
      <c r="G41" s="32"/>
      <c r="H41" s="58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spans="2:42" ht="20.100000000000001" customHeight="1">
      <c r="B42" s="32"/>
      <c r="C42" s="32"/>
      <c r="D42" s="57"/>
      <c r="E42" s="32"/>
      <c r="F42" s="58"/>
      <c r="G42" s="32"/>
      <c r="H42" s="58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spans="2:42" ht="20.100000000000001" customHeight="1">
      <c r="B43" s="32"/>
      <c r="C43" s="32"/>
      <c r="D43" s="57"/>
      <c r="E43" s="32"/>
      <c r="F43" s="58"/>
      <c r="G43" s="32"/>
      <c r="H43" s="5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spans="2:42" ht="20.100000000000001" customHeight="1">
      <c r="B44" s="32"/>
      <c r="C44" s="32"/>
      <c r="D44" s="57"/>
      <c r="E44" s="32"/>
      <c r="F44" s="58"/>
      <c r="G44" s="32"/>
      <c r="H44" s="58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2:42" ht="20.100000000000001" customHeight="1">
      <c r="B45" s="32"/>
      <c r="C45" s="32"/>
      <c r="D45" s="57"/>
      <c r="E45" s="32"/>
      <c r="F45" s="58"/>
      <c r="G45" s="32"/>
      <c r="H45" s="58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</row>
    <row r="46" spans="2:42" ht="20.100000000000001" customHeight="1">
      <c r="B46" s="71"/>
      <c r="C46" s="71"/>
      <c r="D46" s="72"/>
      <c r="E46" s="71"/>
      <c r="F46" s="58"/>
      <c r="G46" s="32"/>
      <c r="H46" s="58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2:42" ht="20.100000000000001" customHeight="1">
      <c r="B47" s="32"/>
      <c r="C47" s="32"/>
      <c r="D47" s="57"/>
      <c r="E47" s="32"/>
      <c r="F47" s="58"/>
      <c r="G47" s="32"/>
      <c r="H47" s="58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</row>
    <row r="48" spans="2:42" ht="20.100000000000001" customHeight="1">
      <c r="B48" s="34"/>
      <c r="C48" s="34"/>
      <c r="D48" s="35"/>
      <c r="E48" s="34"/>
    </row>
  </sheetData>
  <sortState xmlns:xlrd2="http://schemas.microsoft.com/office/spreadsheetml/2017/richdata2" ref="B22:C31">
    <sortCondition ref="C22:C31"/>
  </sortState>
  <mergeCells count="5">
    <mergeCell ref="O19:Q19"/>
    <mergeCell ref="E20:I20"/>
    <mergeCell ref="O21:Q21"/>
    <mergeCell ref="E23:I23"/>
    <mergeCell ref="O24:Q24"/>
  </mergeCells>
  <hyperlinks>
    <hyperlink ref="B39" r:id="rId1" xr:uid="{00000000-0004-0000-0600-000000000000}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1"/>
  <sheetViews>
    <sheetView showGridLines="0" zoomScale="90" zoomScaleNormal="90" workbookViewId="0">
      <selection activeCell="L7" sqref="L7"/>
    </sheetView>
  </sheetViews>
  <sheetFormatPr defaultRowHeight="15"/>
  <cols>
    <col min="1" max="1" width="47" style="4" customWidth="1"/>
    <col min="2" max="4" width="14.140625" customWidth="1"/>
    <col min="5" max="5" width="14.140625" style="31" customWidth="1"/>
    <col min="6" max="6" width="8.28515625" style="113" customWidth="1"/>
    <col min="7" max="7" width="9.42578125" style="113" customWidth="1"/>
    <col min="8" max="8" width="24" style="113" customWidth="1"/>
    <col min="9" max="9" width="7" style="113" bestFit="1" customWidth="1"/>
    <col min="10" max="10" width="6.5703125" style="114" bestFit="1" customWidth="1"/>
  </cols>
  <sheetData>
    <row r="1" spans="1:10">
      <c r="A1" s="115" t="s">
        <v>0</v>
      </c>
      <c r="B1" s="59"/>
      <c r="C1" s="59"/>
      <c r="D1" s="59"/>
      <c r="E1" s="60"/>
      <c r="F1" s="70"/>
      <c r="G1" s="70"/>
    </row>
    <row r="2" spans="1:10">
      <c r="A2" s="3" t="s">
        <v>1</v>
      </c>
      <c r="B2" s="1"/>
      <c r="C2" s="1"/>
      <c r="D2" s="1"/>
      <c r="E2" s="13"/>
      <c r="F2" s="22"/>
      <c r="G2" s="22"/>
    </row>
    <row r="4" spans="1:10" ht="43.5" customHeight="1">
      <c r="A4" s="13" t="s">
        <v>375</v>
      </c>
      <c r="B4" s="14" t="s">
        <v>27</v>
      </c>
      <c r="C4" s="14" t="s">
        <v>28</v>
      </c>
      <c r="D4" s="14" t="s">
        <v>29</v>
      </c>
      <c r="E4" s="14" t="s">
        <v>30</v>
      </c>
      <c r="F4" s="14" t="s">
        <v>8</v>
      </c>
      <c r="G4" s="14" t="s">
        <v>9</v>
      </c>
      <c r="H4" s="120" t="s">
        <v>391</v>
      </c>
      <c r="I4"/>
      <c r="J4"/>
    </row>
    <row r="5" spans="1:10">
      <c r="A5" s="203" t="s">
        <v>392</v>
      </c>
      <c r="B5" s="196">
        <v>85</v>
      </c>
      <c r="C5" s="196">
        <v>88</v>
      </c>
      <c r="D5" s="196"/>
      <c r="E5" s="196"/>
      <c r="F5" s="209">
        <f t="shared" ref="F5:F36" si="0">SUM(B5:E5)</f>
        <v>173</v>
      </c>
      <c r="G5" s="209">
        <f t="shared" ref="G5:G36" si="1">AVERAGE(B5:E5)</f>
        <v>86.5</v>
      </c>
      <c r="H5" s="210">
        <f t="shared" ref="H5:H36" si="2">(F5/$F$37)*100</f>
        <v>2.2608468374281232</v>
      </c>
      <c r="I5"/>
      <c r="J5"/>
    </row>
    <row r="6" spans="1:10">
      <c r="A6" s="203" t="s">
        <v>378</v>
      </c>
      <c r="B6" s="196">
        <v>230</v>
      </c>
      <c r="C6" s="196">
        <v>282</v>
      </c>
      <c r="D6" s="196"/>
      <c r="E6" s="196"/>
      <c r="F6" s="209">
        <f t="shared" si="0"/>
        <v>512</v>
      </c>
      <c r="G6" s="209">
        <f t="shared" si="1"/>
        <v>256</v>
      </c>
      <c r="H6" s="210">
        <f t="shared" si="2"/>
        <v>6.6910611604809196</v>
      </c>
      <c r="I6"/>
      <c r="J6"/>
    </row>
    <row r="7" spans="1:10">
      <c r="A7" s="203" t="s">
        <v>393</v>
      </c>
      <c r="B7" s="196">
        <v>156</v>
      </c>
      <c r="C7" s="196">
        <v>157</v>
      </c>
      <c r="D7" s="196"/>
      <c r="E7" s="196"/>
      <c r="F7" s="209">
        <f t="shared" si="0"/>
        <v>313</v>
      </c>
      <c r="G7" s="209">
        <f t="shared" si="1"/>
        <v>156.5</v>
      </c>
      <c r="H7" s="210">
        <f t="shared" si="2"/>
        <v>4.0904338734971253</v>
      </c>
      <c r="I7"/>
      <c r="J7"/>
    </row>
    <row r="8" spans="1:10">
      <c r="A8" s="203" t="s">
        <v>394</v>
      </c>
      <c r="B8" s="196">
        <v>128</v>
      </c>
      <c r="C8" s="196">
        <v>108</v>
      </c>
      <c r="D8" s="196"/>
      <c r="E8" s="196"/>
      <c r="F8" s="209">
        <f t="shared" si="0"/>
        <v>236</v>
      </c>
      <c r="G8" s="209">
        <f t="shared" si="1"/>
        <v>118</v>
      </c>
      <c r="H8" s="210">
        <f t="shared" si="2"/>
        <v>3.0841610036591742</v>
      </c>
      <c r="I8"/>
      <c r="J8"/>
    </row>
    <row r="9" spans="1:10">
      <c r="A9" s="203" t="s">
        <v>395</v>
      </c>
      <c r="B9" s="196">
        <v>115</v>
      </c>
      <c r="C9" s="196">
        <v>96</v>
      </c>
      <c r="D9" s="196"/>
      <c r="E9" s="196"/>
      <c r="F9" s="209">
        <f t="shared" si="0"/>
        <v>211</v>
      </c>
      <c r="G9" s="209">
        <f t="shared" si="1"/>
        <v>105.5</v>
      </c>
      <c r="H9" s="210">
        <f t="shared" si="2"/>
        <v>2.7574490329325667</v>
      </c>
      <c r="I9"/>
      <c r="J9"/>
    </row>
    <row r="10" spans="1:10">
      <c r="A10" s="203" t="s">
        <v>396</v>
      </c>
      <c r="B10" s="196">
        <v>98</v>
      </c>
      <c r="C10" s="196">
        <v>93</v>
      </c>
      <c r="D10" s="196"/>
      <c r="E10" s="196"/>
      <c r="F10" s="209">
        <f t="shared" si="0"/>
        <v>191</v>
      </c>
      <c r="G10" s="209">
        <f t="shared" si="1"/>
        <v>95.5</v>
      </c>
      <c r="H10" s="210">
        <f t="shared" si="2"/>
        <v>2.4960794563512807</v>
      </c>
      <c r="I10"/>
      <c r="J10"/>
    </row>
    <row r="11" spans="1:10">
      <c r="A11" s="203" t="s">
        <v>397</v>
      </c>
      <c r="B11" s="196">
        <v>22</v>
      </c>
      <c r="C11" s="196">
        <v>20</v>
      </c>
      <c r="D11" s="196"/>
      <c r="E11" s="196"/>
      <c r="F11" s="209">
        <f t="shared" si="0"/>
        <v>42</v>
      </c>
      <c r="G11" s="209">
        <f t="shared" si="1"/>
        <v>21</v>
      </c>
      <c r="H11" s="210">
        <f t="shared" si="2"/>
        <v>0.54887611082070054</v>
      </c>
      <c r="I11"/>
      <c r="J11"/>
    </row>
    <row r="12" spans="1:10">
      <c r="A12" s="203" t="s">
        <v>398</v>
      </c>
      <c r="B12" s="196">
        <v>33</v>
      </c>
      <c r="C12" s="196">
        <v>30</v>
      </c>
      <c r="D12" s="196"/>
      <c r="E12" s="196"/>
      <c r="F12" s="209">
        <f t="shared" si="0"/>
        <v>63</v>
      </c>
      <c r="G12" s="209">
        <f t="shared" si="1"/>
        <v>31.5</v>
      </c>
      <c r="H12" s="210">
        <f t="shared" si="2"/>
        <v>0.8233141662310508</v>
      </c>
      <c r="I12"/>
      <c r="J12"/>
    </row>
    <row r="13" spans="1:10">
      <c r="A13" s="203" t="s">
        <v>399</v>
      </c>
      <c r="B13" s="196">
        <v>68</v>
      </c>
      <c r="C13" s="196">
        <v>47</v>
      </c>
      <c r="D13" s="196"/>
      <c r="E13" s="196"/>
      <c r="F13" s="209">
        <f t="shared" si="0"/>
        <v>115</v>
      </c>
      <c r="G13" s="209">
        <f t="shared" si="1"/>
        <v>57.5</v>
      </c>
      <c r="H13" s="210">
        <f t="shared" si="2"/>
        <v>1.5028750653423941</v>
      </c>
      <c r="I13"/>
      <c r="J13"/>
    </row>
    <row r="14" spans="1:10">
      <c r="A14" s="203" t="s">
        <v>400</v>
      </c>
      <c r="B14" s="196">
        <v>51</v>
      </c>
      <c r="C14" s="196">
        <v>37</v>
      </c>
      <c r="D14" s="196"/>
      <c r="E14" s="196"/>
      <c r="F14" s="209">
        <f t="shared" si="0"/>
        <v>88</v>
      </c>
      <c r="G14" s="209">
        <f t="shared" si="1"/>
        <v>44</v>
      </c>
      <c r="H14" s="210">
        <f t="shared" si="2"/>
        <v>1.1500261369576581</v>
      </c>
      <c r="I14"/>
      <c r="J14"/>
    </row>
    <row r="15" spans="1:10">
      <c r="A15" s="203" t="s">
        <v>379</v>
      </c>
      <c r="B15" s="196">
        <v>193</v>
      </c>
      <c r="C15" s="196">
        <v>224</v>
      </c>
      <c r="D15" s="196"/>
      <c r="E15" s="196"/>
      <c r="F15" s="209">
        <f t="shared" si="0"/>
        <v>417</v>
      </c>
      <c r="G15" s="209">
        <f t="shared" si="1"/>
        <v>208.5</v>
      </c>
      <c r="H15" s="210">
        <f t="shared" si="2"/>
        <v>5.4495556717198124</v>
      </c>
      <c r="I15"/>
      <c r="J15"/>
    </row>
    <row r="16" spans="1:10">
      <c r="A16" s="203" t="s">
        <v>401</v>
      </c>
      <c r="B16" s="196">
        <v>71</v>
      </c>
      <c r="C16" s="196">
        <v>89</v>
      </c>
      <c r="D16" s="196"/>
      <c r="E16" s="196"/>
      <c r="F16" s="209">
        <f t="shared" si="0"/>
        <v>160</v>
      </c>
      <c r="G16" s="209">
        <f t="shared" si="1"/>
        <v>80</v>
      </c>
      <c r="H16" s="210">
        <f t="shared" si="2"/>
        <v>2.0909566126502876</v>
      </c>
      <c r="I16"/>
      <c r="J16"/>
    </row>
    <row r="17" spans="1:10">
      <c r="A17" s="203" t="s">
        <v>385</v>
      </c>
      <c r="B17" s="196">
        <v>179</v>
      </c>
      <c r="C17" s="196">
        <v>144</v>
      </c>
      <c r="D17" s="196"/>
      <c r="E17" s="196"/>
      <c r="F17" s="209">
        <f t="shared" si="0"/>
        <v>323</v>
      </c>
      <c r="G17" s="209">
        <f t="shared" si="1"/>
        <v>161.5</v>
      </c>
      <c r="H17" s="210">
        <f t="shared" si="2"/>
        <v>4.2211186617877674</v>
      </c>
      <c r="I17"/>
      <c r="J17"/>
    </row>
    <row r="18" spans="1:10">
      <c r="A18" s="203" t="s">
        <v>402</v>
      </c>
      <c r="B18" s="196">
        <v>76</v>
      </c>
      <c r="C18" s="196">
        <v>45</v>
      </c>
      <c r="D18" s="196"/>
      <c r="E18" s="196"/>
      <c r="F18" s="209">
        <f t="shared" si="0"/>
        <v>121</v>
      </c>
      <c r="G18" s="209">
        <f t="shared" si="1"/>
        <v>60.5</v>
      </c>
      <c r="H18" s="210">
        <f t="shared" si="2"/>
        <v>1.5812859383167799</v>
      </c>
      <c r="I18"/>
      <c r="J18"/>
    </row>
    <row r="19" spans="1:10">
      <c r="A19" s="203" t="s">
        <v>403</v>
      </c>
      <c r="B19" s="196">
        <v>118</v>
      </c>
      <c r="C19" s="196">
        <v>103</v>
      </c>
      <c r="D19" s="196"/>
      <c r="E19" s="196"/>
      <c r="F19" s="209">
        <f t="shared" si="0"/>
        <v>221</v>
      </c>
      <c r="G19" s="209">
        <f t="shared" si="1"/>
        <v>110.5</v>
      </c>
      <c r="H19" s="210">
        <f t="shared" si="2"/>
        <v>2.8881338212232097</v>
      </c>
      <c r="I19" s="67"/>
      <c r="J19"/>
    </row>
    <row r="20" spans="1:10">
      <c r="A20" s="203" t="s">
        <v>381</v>
      </c>
      <c r="B20" s="196">
        <v>213</v>
      </c>
      <c r="C20" s="196">
        <v>192</v>
      </c>
      <c r="D20" s="196"/>
      <c r="E20" s="196"/>
      <c r="F20" s="209">
        <f t="shared" si="0"/>
        <v>405</v>
      </c>
      <c r="G20" s="209">
        <f t="shared" si="1"/>
        <v>202.5</v>
      </c>
      <c r="H20" s="210">
        <f t="shared" si="2"/>
        <v>5.2927339257710404</v>
      </c>
      <c r="I20" s="67"/>
      <c r="J20"/>
    </row>
    <row r="21" spans="1:10">
      <c r="A21" s="203" t="s">
        <v>404</v>
      </c>
      <c r="B21" s="196">
        <v>81</v>
      </c>
      <c r="C21" s="196">
        <v>86</v>
      </c>
      <c r="D21" s="196"/>
      <c r="E21" s="196"/>
      <c r="F21" s="209">
        <f t="shared" si="0"/>
        <v>167</v>
      </c>
      <c r="G21" s="209">
        <f t="shared" si="1"/>
        <v>83.5</v>
      </c>
      <c r="H21" s="210">
        <f t="shared" si="2"/>
        <v>2.1824359644537377</v>
      </c>
      <c r="I21" s="67"/>
      <c r="J21"/>
    </row>
    <row r="22" spans="1:10">
      <c r="A22" s="203" t="s">
        <v>383</v>
      </c>
      <c r="B22" s="196">
        <v>168</v>
      </c>
      <c r="C22" s="196">
        <v>177</v>
      </c>
      <c r="D22" s="196"/>
      <c r="E22" s="196"/>
      <c r="F22" s="209">
        <f t="shared" si="0"/>
        <v>345</v>
      </c>
      <c r="G22" s="209">
        <f t="shared" si="1"/>
        <v>172.5</v>
      </c>
      <c r="H22" s="210">
        <f t="shared" si="2"/>
        <v>4.5086251960271824</v>
      </c>
      <c r="I22" s="67"/>
      <c r="J22"/>
    </row>
    <row r="23" spans="1:10">
      <c r="A23" s="203" t="s">
        <v>405</v>
      </c>
      <c r="B23" s="196">
        <v>51</v>
      </c>
      <c r="C23" s="196">
        <v>63</v>
      </c>
      <c r="D23" s="196"/>
      <c r="E23" s="196"/>
      <c r="F23" s="209">
        <f t="shared" si="0"/>
        <v>114</v>
      </c>
      <c r="G23" s="209">
        <f t="shared" si="1"/>
        <v>57</v>
      </c>
      <c r="H23" s="210">
        <f t="shared" si="2"/>
        <v>1.4898065865133299</v>
      </c>
      <c r="I23" s="67"/>
      <c r="J23"/>
    </row>
    <row r="24" spans="1:10">
      <c r="A24" s="203" t="s">
        <v>382</v>
      </c>
      <c r="B24" s="196">
        <v>192</v>
      </c>
      <c r="C24" s="196">
        <v>165</v>
      </c>
      <c r="D24" s="196"/>
      <c r="E24" s="196"/>
      <c r="F24" s="209">
        <f t="shared" si="0"/>
        <v>357</v>
      </c>
      <c r="G24" s="209">
        <f t="shared" si="1"/>
        <v>178.5</v>
      </c>
      <c r="H24" s="210">
        <f t="shared" si="2"/>
        <v>4.6654469419759534</v>
      </c>
      <c r="I24" s="67"/>
      <c r="J24"/>
    </row>
    <row r="25" spans="1:10">
      <c r="A25" s="203" t="s">
        <v>406</v>
      </c>
      <c r="B25" s="196">
        <v>20</v>
      </c>
      <c r="C25" s="196">
        <v>19</v>
      </c>
      <c r="D25" s="196"/>
      <c r="E25" s="196"/>
      <c r="F25" s="209">
        <f t="shared" si="0"/>
        <v>39</v>
      </c>
      <c r="G25" s="209">
        <f t="shared" si="1"/>
        <v>19.5</v>
      </c>
      <c r="H25" s="210">
        <f t="shared" si="2"/>
        <v>0.50967067433350766</v>
      </c>
      <c r="I25" s="67"/>
      <c r="J25"/>
    </row>
    <row r="26" spans="1:10">
      <c r="A26" s="203" t="s">
        <v>384</v>
      </c>
      <c r="B26" s="196">
        <v>142</v>
      </c>
      <c r="C26" s="196">
        <v>185</v>
      </c>
      <c r="D26" s="196"/>
      <c r="E26" s="196"/>
      <c r="F26" s="209">
        <f t="shared" si="0"/>
        <v>327</v>
      </c>
      <c r="G26" s="209">
        <f t="shared" si="1"/>
        <v>163.5</v>
      </c>
      <c r="H26" s="210">
        <f t="shared" si="2"/>
        <v>4.2733925771040253</v>
      </c>
      <c r="I26" s="67"/>
      <c r="J26"/>
    </row>
    <row r="27" spans="1:10">
      <c r="A27" s="203" t="s">
        <v>380</v>
      </c>
      <c r="B27" s="196">
        <v>222</v>
      </c>
      <c r="C27" s="196">
        <v>187</v>
      </c>
      <c r="D27" s="196"/>
      <c r="E27" s="196"/>
      <c r="F27" s="209">
        <f t="shared" si="0"/>
        <v>409</v>
      </c>
      <c r="G27" s="209">
        <f t="shared" si="1"/>
        <v>204.5</v>
      </c>
      <c r="H27" s="210">
        <f t="shared" si="2"/>
        <v>5.3450078410872974</v>
      </c>
      <c r="I27" s="67"/>
      <c r="J27"/>
    </row>
    <row r="28" spans="1:10">
      <c r="A28" s="203" t="s">
        <v>386</v>
      </c>
      <c r="B28" s="196">
        <v>165</v>
      </c>
      <c r="C28" s="196">
        <v>156</v>
      </c>
      <c r="D28" s="196"/>
      <c r="E28" s="196"/>
      <c r="F28" s="209">
        <f t="shared" si="0"/>
        <v>321</v>
      </c>
      <c r="G28" s="209">
        <f t="shared" si="1"/>
        <v>160.5</v>
      </c>
      <c r="H28" s="210">
        <f t="shared" si="2"/>
        <v>4.1949817041296393</v>
      </c>
      <c r="I28" s="67"/>
      <c r="J28"/>
    </row>
    <row r="29" spans="1:10">
      <c r="A29" s="203" t="s">
        <v>407</v>
      </c>
      <c r="B29" s="196">
        <v>149</v>
      </c>
      <c r="C29" s="196">
        <v>127</v>
      </c>
      <c r="D29" s="196"/>
      <c r="E29" s="196"/>
      <c r="F29" s="209">
        <f t="shared" si="0"/>
        <v>276</v>
      </c>
      <c r="G29" s="209">
        <f t="shared" si="1"/>
        <v>138</v>
      </c>
      <c r="H29" s="210">
        <f t="shared" si="2"/>
        <v>3.6069001568217463</v>
      </c>
      <c r="I29" s="67"/>
      <c r="J29"/>
    </row>
    <row r="30" spans="1:10">
      <c r="A30" s="203" t="s">
        <v>408</v>
      </c>
      <c r="B30" s="196">
        <v>104</v>
      </c>
      <c r="C30" s="196">
        <v>85</v>
      </c>
      <c r="D30" s="196"/>
      <c r="E30" s="196"/>
      <c r="F30" s="209">
        <f t="shared" si="0"/>
        <v>189</v>
      </c>
      <c r="G30" s="209">
        <f t="shared" si="1"/>
        <v>94.5</v>
      </c>
      <c r="H30" s="210">
        <f t="shared" si="2"/>
        <v>2.4699424986931522</v>
      </c>
      <c r="I30" s="67"/>
      <c r="J30"/>
    </row>
    <row r="31" spans="1:10">
      <c r="A31" s="203" t="s">
        <v>409</v>
      </c>
      <c r="B31" s="196">
        <v>57</v>
      </c>
      <c r="C31" s="196">
        <v>55</v>
      </c>
      <c r="D31" s="196"/>
      <c r="E31" s="196"/>
      <c r="F31" s="209">
        <f t="shared" si="0"/>
        <v>112</v>
      </c>
      <c r="G31" s="209">
        <f t="shared" si="1"/>
        <v>56</v>
      </c>
      <c r="H31" s="210">
        <f t="shared" si="2"/>
        <v>1.4636696288552014</v>
      </c>
      <c r="I31" s="67"/>
      <c r="J31"/>
    </row>
    <row r="32" spans="1:10">
      <c r="A32" s="203" t="s">
        <v>410</v>
      </c>
      <c r="B32" s="196">
        <v>46</v>
      </c>
      <c r="C32" s="196">
        <v>45</v>
      </c>
      <c r="D32" s="196"/>
      <c r="E32" s="196"/>
      <c r="F32" s="209">
        <f t="shared" si="0"/>
        <v>91</v>
      </c>
      <c r="G32" s="209">
        <f t="shared" si="1"/>
        <v>45.5</v>
      </c>
      <c r="H32" s="210">
        <f t="shared" si="2"/>
        <v>1.1892315734448509</v>
      </c>
      <c r="I32" s="67"/>
      <c r="J32"/>
    </row>
    <row r="33" spans="1:10">
      <c r="A33" s="203" t="s">
        <v>377</v>
      </c>
      <c r="B33" s="196">
        <v>288</v>
      </c>
      <c r="C33" s="196">
        <v>385</v>
      </c>
      <c r="D33" s="196"/>
      <c r="E33" s="196"/>
      <c r="F33" s="209">
        <f t="shared" si="0"/>
        <v>673</v>
      </c>
      <c r="G33" s="209">
        <f t="shared" si="1"/>
        <v>336.5</v>
      </c>
      <c r="H33" s="210">
        <f t="shared" si="2"/>
        <v>8.7950862519602708</v>
      </c>
      <c r="I33" s="67"/>
      <c r="J33"/>
    </row>
    <row r="34" spans="1:10">
      <c r="A34" s="203" t="s">
        <v>411</v>
      </c>
      <c r="B34" s="196">
        <v>116</v>
      </c>
      <c r="C34" s="196">
        <v>112</v>
      </c>
      <c r="D34" s="196"/>
      <c r="E34" s="196"/>
      <c r="F34" s="209">
        <f t="shared" si="0"/>
        <v>228</v>
      </c>
      <c r="G34" s="209">
        <f t="shared" si="1"/>
        <v>114</v>
      </c>
      <c r="H34" s="210">
        <f t="shared" si="2"/>
        <v>2.9796131730266597</v>
      </c>
      <c r="I34" s="67"/>
      <c r="J34"/>
    </row>
    <row r="35" spans="1:10">
      <c r="A35" s="203" t="s">
        <v>412</v>
      </c>
      <c r="B35" s="196">
        <v>148</v>
      </c>
      <c r="C35" s="196">
        <v>128</v>
      </c>
      <c r="D35" s="196"/>
      <c r="E35" s="196"/>
      <c r="F35" s="209">
        <f t="shared" si="0"/>
        <v>276</v>
      </c>
      <c r="G35" s="209">
        <f t="shared" si="1"/>
        <v>138</v>
      </c>
      <c r="H35" s="210">
        <f t="shared" si="2"/>
        <v>3.6069001568217463</v>
      </c>
      <c r="I35" s="67"/>
      <c r="J35"/>
    </row>
    <row r="36" spans="1:10">
      <c r="A36" s="203" t="s">
        <v>413</v>
      </c>
      <c r="B36" s="196">
        <v>76</v>
      </c>
      <c r="C36" s="196">
        <v>61</v>
      </c>
      <c r="D36" s="196"/>
      <c r="E36" s="196"/>
      <c r="F36" s="209">
        <f t="shared" si="0"/>
        <v>137</v>
      </c>
      <c r="G36" s="209">
        <f t="shared" si="1"/>
        <v>68.5</v>
      </c>
      <c r="H36" s="210">
        <f t="shared" si="2"/>
        <v>1.7903815995818089</v>
      </c>
      <c r="I36" s="67"/>
      <c r="J36"/>
    </row>
    <row r="37" spans="1:10" ht="24" customHeight="1">
      <c r="A37" s="211" t="s">
        <v>8</v>
      </c>
      <c r="B37" s="206">
        <f>SUBTOTAL(109,Subprefeituras_2025[1° trim 2025])</f>
        <v>3861</v>
      </c>
      <c r="C37" s="206">
        <f>SUBTOTAL(109,Subprefeituras_2025[2° trim 2025])</f>
        <v>3791</v>
      </c>
      <c r="D37" s="206"/>
      <c r="E37" s="206"/>
      <c r="F37" s="213">
        <f>SUBTOTAL(109,Subprefeituras_2025[Total])</f>
        <v>7652</v>
      </c>
      <c r="G37" s="213">
        <f>SUBTOTAL(109,Subprefeituras_2025[Média])</f>
        <v>3826</v>
      </c>
      <c r="H37" s="212">
        <f>SUBTOTAL(109,Subprefeituras_2025[% Total dentre as subprefeituras])</f>
        <v>100.00000000000003</v>
      </c>
      <c r="I37" s="67"/>
      <c r="J37"/>
    </row>
    <row r="38" spans="1:10">
      <c r="A38" s="116"/>
      <c r="B38" s="80"/>
      <c r="C38" s="80"/>
      <c r="D38" s="80"/>
      <c r="E38" s="80"/>
      <c r="F38" s="117"/>
      <c r="G38" s="117"/>
      <c r="H38" s="118"/>
    </row>
    <row r="40" spans="1:10" ht="57.75">
      <c r="A40" s="107" t="s">
        <v>317</v>
      </c>
      <c r="B40" s="119"/>
      <c r="C40" s="119"/>
      <c r="D40" s="119"/>
      <c r="E40" s="119"/>
    </row>
    <row r="41" spans="1:10" ht="28.5">
      <c r="A41" s="121" t="s">
        <v>63</v>
      </c>
    </row>
  </sheetData>
  <hyperlinks>
    <hyperlink ref="A41" r:id="rId1" xr:uid="{00000000-0004-0000-0700-000000000000}"/>
  </hyperlink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Bianca Marli Siqueira de Freitas</dc:creator>
  <cp:keywords>DREST</cp:keywords>
  <dc:description/>
  <cp:lastModifiedBy/>
  <cp:revision/>
  <dcterms:created xsi:type="dcterms:W3CDTF">2015-01-14T17:57:51Z</dcterms:created>
  <dcterms:modified xsi:type="dcterms:W3CDTF">2025-08-04T14:36:19Z</dcterms:modified>
  <cp:category/>
  <cp:contentStatus/>
</cp:coreProperties>
</file>